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f Vild\Documents\K odeslání\"/>
    </mc:Choice>
  </mc:AlternateContent>
  <bookViews>
    <workbookView xWindow="360" yWindow="216" windowWidth="11316" windowHeight="5316" tabRatio="644"/>
  </bookViews>
  <sheets>
    <sheet name="Protokol 7 Teams" sheetId="13" r:id="rId1"/>
    <sheet name="Pořadí zápasů 7 Teams_Spielplan" sheetId="52" r:id="rId2"/>
  </sheets>
  <definedNames>
    <definedName name="_xlnm.Print_Titles" localSheetId="1">'Pořadí zápasů 7 Teams_Spielplan'!$4:$5</definedName>
    <definedName name="_xlnm.Print_Area" localSheetId="1">'Pořadí zápasů 7 Teams_Spielplan'!$A$1:$N$32</definedName>
    <definedName name="_xlnm.Print_Area" localSheetId="0">'Protokol 7 Teams'!$A:$AH</definedName>
  </definedNames>
  <calcPr calcId="152511"/>
</workbook>
</file>

<file path=xl/calcChain.xml><?xml version="1.0" encoding="utf-8"?>
<calcChain xmlns="http://schemas.openxmlformats.org/spreadsheetml/2006/main">
  <c r="F33" i="52" l="1"/>
  <c r="F32" i="52" l="1"/>
  <c r="F28" i="52"/>
  <c r="F31" i="52" l="1"/>
  <c r="K29" i="52" s="1"/>
  <c r="F30" i="52"/>
  <c r="K31" i="52" s="1"/>
  <c r="F29" i="52"/>
  <c r="K30" i="52" l="1"/>
  <c r="K28" i="52"/>
  <c r="F34" i="52"/>
  <c r="AA26" i="52"/>
  <c r="Z26" i="52"/>
  <c r="Y26" i="52"/>
  <c r="X26" i="52"/>
  <c r="AA25" i="52"/>
  <c r="Z25" i="52"/>
  <c r="Y25" i="52"/>
  <c r="X25" i="52"/>
  <c r="AA24" i="52"/>
  <c r="Z24" i="52"/>
  <c r="Y24" i="52"/>
  <c r="X24" i="52"/>
  <c r="AA23" i="52"/>
  <c r="Z23" i="52"/>
  <c r="Y23" i="52"/>
  <c r="X23" i="52"/>
  <c r="AA22" i="52"/>
  <c r="Z22" i="52"/>
  <c r="Y22" i="52"/>
  <c r="X22" i="52"/>
  <c r="AA21" i="52"/>
  <c r="Z21" i="52"/>
  <c r="Y21" i="52"/>
  <c r="X21" i="52"/>
  <c r="AA20" i="52"/>
  <c r="Z20" i="52"/>
  <c r="Y20" i="52"/>
  <c r="X20" i="52"/>
  <c r="AA19" i="52"/>
  <c r="Z19" i="52"/>
  <c r="Y19" i="52"/>
  <c r="X19" i="52"/>
  <c r="AA18" i="52"/>
  <c r="Z18" i="52"/>
  <c r="Y18" i="52"/>
  <c r="X18" i="52"/>
  <c r="AA17" i="52"/>
  <c r="Z17" i="52"/>
  <c r="Y17" i="52"/>
  <c r="X17" i="52"/>
  <c r="AA16" i="52"/>
  <c r="Z16" i="52"/>
  <c r="Y16" i="52"/>
  <c r="X16" i="52"/>
  <c r="AA15" i="52"/>
  <c r="Z15" i="52"/>
  <c r="Y15" i="52"/>
  <c r="X15" i="52"/>
  <c r="AA14" i="52"/>
  <c r="Z14" i="52"/>
  <c r="Y14" i="52"/>
  <c r="X14" i="52"/>
  <c r="AA13" i="52"/>
  <c r="Z13" i="52"/>
  <c r="Y13" i="52"/>
  <c r="X13" i="52"/>
  <c r="AA12" i="52"/>
  <c r="Z12" i="52"/>
  <c r="Y12" i="52"/>
  <c r="X12" i="52"/>
  <c r="AA11" i="52"/>
  <c r="Z11" i="52"/>
  <c r="Y11" i="52"/>
  <c r="X11" i="52"/>
  <c r="AA10" i="52"/>
  <c r="Z10" i="52"/>
  <c r="Y10" i="52"/>
  <c r="X10" i="52"/>
  <c r="AA9" i="52"/>
  <c r="Z9" i="52"/>
  <c r="Y9" i="52"/>
  <c r="X9" i="52"/>
  <c r="AA8" i="52"/>
  <c r="Z8" i="52"/>
  <c r="Y8" i="52"/>
  <c r="X8" i="52"/>
  <c r="AA7" i="52"/>
  <c r="Z7" i="52"/>
  <c r="Y7" i="52"/>
  <c r="X7" i="52"/>
  <c r="K32" i="52" l="1"/>
  <c r="C25" i="52"/>
  <c r="C24" i="52"/>
  <c r="C23" i="52"/>
  <c r="O5" i="13" l="1"/>
  <c r="O34" i="13"/>
  <c r="N35" i="13" s="1"/>
  <c r="Q34" i="13"/>
  <c r="L35" i="13" s="1"/>
  <c r="R34" i="13"/>
  <c r="N36" i="13" s="1"/>
  <c r="T34" i="13"/>
  <c r="L36" i="13" s="1"/>
  <c r="U34" i="13"/>
  <c r="N37" i="13" s="1"/>
  <c r="W34" i="13"/>
  <c r="L37" i="13" s="1"/>
  <c r="W36" i="13"/>
  <c r="R37" i="13" s="1"/>
  <c r="U36" i="13"/>
  <c r="T37" i="13" s="1"/>
  <c r="W35" i="13"/>
  <c r="O37" i="13" s="1"/>
  <c r="U35" i="13"/>
  <c r="Q37" i="13" s="1"/>
  <c r="T35" i="13"/>
  <c r="O36" i="13" s="1"/>
  <c r="R35" i="13"/>
  <c r="Q36" i="13" s="1"/>
  <c r="W33" i="13"/>
  <c r="I37" i="13" s="1"/>
  <c r="U33" i="13"/>
  <c r="K37" i="13" s="1"/>
  <c r="T33" i="13"/>
  <c r="I36" i="13" s="1"/>
  <c r="R33" i="13"/>
  <c r="K36" i="13" s="1"/>
  <c r="Q33" i="13"/>
  <c r="I35" i="13" s="1"/>
  <c r="O33" i="13"/>
  <c r="K35" i="13" s="1"/>
  <c r="N33" i="13"/>
  <c r="I34" i="13" s="1"/>
  <c r="L33" i="13"/>
  <c r="K34" i="13" s="1"/>
  <c r="W32" i="13"/>
  <c r="F37" i="13" s="1"/>
  <c r="U32" i="13"/>
  <c r="H37" i="13" s="1"/>
  <c r="T32" i="13"/>
  <c r="F36" i="13" s="1"/>
  <c r="R32" i="13"/>
  <c r="H36" i="13" s="1"/>
  <c r="Q32" i="13"/>
  <c r="F35" i="13" s="1"/>
  <c r="O32" i="13"/>
  <c r="H35" i="13" s="1"/>
  <c r="N32" i="13"/>
  <c r="F34" i="13" s="1"/>
  <c r="L32" i="13"/>
  <c r="H34" i="13" s="1"/>
  <c r="K32" i="13"/>
  <c r="F33" i="13" s="1"/>
  <c r="I32" i="13"/>
  <c r="H33" i="13" s="1"/>
  <c r="U31" i="13"/>
  <c r="E37" i="13" s="1"/>
  <c r="T31" i="13"/>
  <c r="C36" i="13" s="1"/>
  <c r="R31" i="13"/>
  <c r="E36" i="13" s="1"/>
  <c r="Q31" i="13"/>
  <c r="C35" i="13" s="1"/>
  <c r="O31" i="13"/>
  <c r="E35" i="13" s="1"/>
  <c r="N31" i="13"/>
  <c r="C34" i="13" s="1"/>
  <c r="L31" i="13"/>
  <c r="E34" i="13" s="1"/>
  <c r="K31" i="13"/>
  <c r="C33" i="13" s="1"/>
  <c r="I31" i="13"/>
  <c r="E33" i="13" s="1"/>
  <c r="H31" i="13"/>
  <c r="C32" i="13" s="1"/>
  <c r="F31" i="13"/>
  <c r="E32" i="13" s="1"/>
  <c r="W31" i="13"/>
  <c r="C37" i="13" s="1"/>
  <c r="B12" i="13"/>
  <c r="B31" i="13" s="1"/>
  <c r="B13" i="13"/>
  <c r="AL56" i="13" s="1"/>
  <c r="B14" i="13"/>
  <c r="AL57" i="13" s="1"/>
  <c r="B15" i="13"/>
  <c r="AL58" i="13" s="1"/>
  <c r="B16" i="13"/>
  <c r="B35" i="13" s="1"/>
  <c r="B17" i="13"/>
  <c r="AL60" i="13" s="1"/>
  <c r="B18" i="13"/>
  <c r="AL61" i="13" s="1"/>
  <c r="P2" i="52"/>
  <c r="A2" i="52" s="1"/>
  <c r="Z6" i="52"/>
  <c r="Y6" i="52"/>
  <c r="AN61" i="13"/>
  <c r="AN60" i="13"/>
  <c r="AN59" i="13"/>
  <c r="AN58" i="13"/>
  <c r="AN57" i="13"/>
  <c r="AN56" i="13"/>
  <c r="AN55" i="13"/>
  <c r="AM61" i="13"/>
  <c r="AM60" i="13"/>
  <c r="AM59" i="13"/>
  <c r="AM58" i="13"/>
  <c r="AM57" i="13"/>
  <c r="AM56" i="13"/>
  <c r="AM55" i="13"/>
  <c r="C54" i="13"/>
  <c r="E24" i="52"/>
  <c r="AJ2" i="13"/>
  <c r="E26" i="52"/>
  <c r="E25" i="52"/>
  <c r="E23" i="52"/>
  <c r="C22" i="52"/>
  <c r="E21" i="52"/>
  <c r="E20" i="52"/>
  <c r="C20" i="52"/>
  <c r="C19" i="52"/>
  <c r="E18" i="52"/>
  <c r="C18" i="52"/>
  <c r="C17" i="52"/>
  <c r="E17" i="52"/>
  <c r="E16" i="52"/>
  <c r="C16" i="52"/>
  <c r="E15" i="52"/>
  <c r="E14" i="52"/>
  <c r="C14" i="52"/>
  <c r="E13" i="52"/>
  <c r="E12" i="52"/>
  <c r="C12" i="52"/>
  <c r="C11" i="52"/>
  <c r="E10" i="52"/>
  <c r="C10" i="52"/>
  <c r="C9" i="52"/>
  <c r="E9" i="52"/>
  <c r="C26" i="52"/>
  <c r="AJ3" i="13"/>
  <c r="AH54" i="13"/>
  <c r="AE54" i="13"/>
  <c r="AD54" i="13"/>
  <c r="AA54" i="13"/>
  <c r="X54" i="13"/>
  <c r="U54" i="13"/>
  <c r="R54" i="13"/>
  <c r="B54" i="13"/>
  <c r="A54" i="13"/>
  <c r="A52" i="13"/>
  <c r="Q47" i="13"/>
  <c r="B47" i="13"/>
  <c r="AC39" i="13"/>
  <c r="A40" i="13"/>
  <c r="AH30" i="13"/>
  <c r="AE30" i="13"/>
  <c r="AD30" i="13"/>
  <c r="B30" i="13"/>
  <c r="A28" i="13"/>
  <c r="U23" i="13"/>
  <c r="B25" i="13"/>
  <c r="B24" i="13"/>
  <c r="B23" i="13"/>
  <c r="A21" i="13"/>
  <c r="AG11" i="13"/>
  <c r="W11" i="13"/>
  <c r="R11" i="13"/>
  <c r="F11" i="13"/>
  <c r="B11" i="13"/>
  <c r="A9" i="13"/>
  <c r="Q7" i="13"/>
  <c r="B7" i="13"/>
  <c r="B6" i="13"/>
  <c r="B5" i="13"/>
  <c r="B4" i="13"/>
  <c r="A2" i="13"/>
  <c r="AE11" i="13"/>
  <c r="AA11" i="13"/>
  <c r="N11" i="13"/>
  <c r="J11" i="13"/>
  <c r="E22" i="52"/>
  <c r="C21" i="52"/>
  <c r="C13" i="52"/>
  <c r="C15" i="52"/>
  <c r="E11" i="52"/>
  <c r="C8" i="52"/>
  <c r="C7" i="52"/>
  <c r="C6" i="52"/>
  <c r="E19" i="52"/>
  <c r="E8" i="52"/>
  <c r="E7" i="52"/>
  <c r="E6" i="52"/>
  <c r="AA6" i="52" s="1"/>
  <c r="X6" i="52"/>
  <c r="P4" i="52"/>
  <c r="AG35" i="13" l="1"/>
  <c r="AU59" i="13" s="1"/>
  <c r="B33" i="13"/>
  <c r="P5" i="52"/>
  <c r="L4" i="52"/>
  <c r="I4" i="52"/>
  <c r="H5" i="52"/>
  <c r="C4" i="52"/>
  <c r="F4" i="52"/>
  <c r="S4" i="52"/>
  <c r="A4" i="52"/>
  <c r="E4" i="52"/>
  <c r="G5" i="52"/>
  <c r="G4" i="52"/>
  <c r="U12" i="52"/>
  <c r="AP61" i="13" s="1"/>
  <c r="S12" i="52"/>
  <c r="S6" i="52"/>
  <c r="AO55" i="13" s="1"/>
  <c r="W12" i="52"/>
  <c r="AR61" i="13" s="1"/>
  <c r="AG32" i="13"/>
  <c r="AU56" i="13" s="1"/>
  <c r="AG36" i="13"/>
  <c r="AU60" i="13" s="1"/>
  <c r="AE32" i="13"/>
  <c r="AT56" i="13" s="1"/>
  <c r="AL59" i="13"/>
  <c r="AG34" i="13"/>
  <c r="AU58" i="13" s="1"/>
  <c r="AD34" i="13"/>
  <c r="AD31" i="13"/>
  <c r="AS55" i="13" s="1"/>
  <c r="AG37" i="13"/>
  <c r="AU61" i="13" s="1"/>
  <c r="AG33" i="13"/>
  <c r="AU57" i="13" s="1"/>
  <c r="AE31" i="13"/>
  <c r="B36" i="13"/>
  <c r="B34" i="13"/>
  <c r="B37" i="13"/>
  <c r="AL55" i="13"/>
  <c r="B32" i="13"/>
  <c r="S11" i="52"/>
  <c r="AO60" i="13" s="1"/>
  <c r="AD32" i="13"/>
  <c r="AE36" i="13"/>
  <c r="AT60" i="13" s="1"/>
  <c r="AD36" i="13"/>
  <c r="AS60" i="13" s="1"/>
  <c r="S9" i="52"/>
  <c r="AE37" i="13"/>
  <c r="AD37" i="13"/>
  <c r="AD35" i="13"/>
  <c r="AS59" i="13" s="1"/>
  <c r="AE35" i="13"/>
  <c r="S7" i="52"/>
  <c r="AE33" i="13"/>
  <c r="AT57" i="13" s="1"/>
  <c r="AD33" i="13"/>
  <c r="AS57" i="13" s="1"/>
  <c r="AE34" i="13"/>
  <c r="AT58" i="13" s="1"/>
  <c r="S8" i="52"/>
  <c r="S10" i="52"/>
  <c r="AG31" i="13"/>
  <c r="W10" i="52" l="1"/>
  <c r="AR59" i="13" s="1"/>
  <c r="W9" i="52"/>
  <c r="AR58" i="13" s="1"/>
  <c r="W6" i="52"/>
  <c r="AR55" i="13" s="1"/>
  <c r="W11" i="52"/>
  <c r="AR60" i="13" s="1"/>
  <c r="U9" i="52"/>
  <c r="AP58" i="13" s="1"/>
  <c r="U8" i="52"/>
  <c r="AP57" i="13" s="1"/>
  <c r="U10" i="52"/>
  <c r="AP59" i="13" s="1"/>
  <c r="W8" i="52"/>
  <c r="AR57" i="13" s="1"/>
  <c r="U6" i="52"/>
  <c r="AP55" i="13" s="1"/>
  <c r="U11" i="52"/>
  <c r="AP60" i="13" s="1"/>
  <c r="W7" i="52"/>
  <c r="AR56" i="13" s="1"/>
  <c r="U7" i="52"/>
  <c r="AP56" i="13" s="1"/>
  <c r="V12" i="52"/>
  <c r="AQ61" i="13" s="1"/>
  <c r="AS56" i="13"/>
  <c r="AH32" i="13"/>
  <c r="AK56" i="13" s="1"/>
  <c r="AI34" i="13"/>
  <c r="AI32" i="13"/>
  <c r="AH35" i="13"/>
  <c r="AK59" i="13" s="1"/>
  <c r="AT61" i="13"/>
  <c r="AI37" i="13"/>
  <c r="AS58" i="13"/>
  <c r="AH34" i="13"/>
  <c r="AK58" i="13" s="1"/>
  <c r="AT59" i="13"/>
  <c r="AI35" i="13"/>
  <c r="AI36" i="13"/>
  <c r="AH31" i="13"/>
  <c r="AK55" i="13" s="1"/>
  <c r="AH36" i="13"/>
  <c r="AK60" i="13" s="1"/>
  <c r="AD39" i="13"/>
  <c r="AE39" i="13"/>
  <c r="AT55" i="13"/>
  <c r="AH33" i="13"/>
  <c r="AK57" i="13" s="1"/>
  <c r="AS61" i="13"/>
  <c r="AH37" i="13"/>
  <c r="AK61" i="13" s="1"/>
  <c r="AI31" i="13"/>
  <c r="AI33" i="13"/>
  <c r="AO58" i="13"/>
  <c r="AU55" i="13"/>
  <c r="AG39" i="13"/>
  <c r="AO61" i="13"/>
  <c r="AO59" i="13"/>
  <c r="AO56" i="13"/>
  <c r="AO57" i="13"/>
  <c r="V9" i="52" l="1"/>
  <c r="AQ58" i="13" s="1"/>
  <c r="V8" i="52"/>
  <c r="AQ57" i="13" s="1"/>
  <c r="V11" i="52"/>
  <c r="AQ60" i="13" s="1"/>
  <c r="V7" i="52"/>
  <c r="AQ56" i="13" s="1"/>
  <c r="V10" i="52"/>
  <c r="AQ59" i="13" s="1"/>
  <c r="X58" i="13" s="1"/>
  <c r="V6" i="52"/>
  <c r="AQ55" i="13" s="1"/>
  <c r="AA56" i="13"/>
  <c r="AG56" i="13"/>
  <c r="C59" i="13"/>
  <c r="K56" i="13"/>
  <c r="AG60" i="13"/>
  <c r="AA59" i="13"/>
  <c r="B59" i="13"/>
  <c r="X59" i="13"/>
  <c r="U60" i="13"/>
  <c r="B60" i="13"/>
  <c r="R56" i="13"/>
  <c r="AD56" i="13"/>
  <c r="X56" i="13"/>
  <c r="AD60" i="13"/>
  <c r="U59" i="13"/>
  <c r="AG59" i="13"/>
  <c r="K60" i="13"/>
  <c r="X60" i="13"/>
  <c r="AD59" i="13"/>
  <c r="K59" i="13"/>
  <c r="AE60" i="13"/>
  <c r="AH60" i="13" s="1"/>
  <c r="AE56" i="13"/>
  <c r="AH56" i="13" s="1"/>
  <c r="C56" i="13"/>
  <c r="B56" i="13"/>
  <c r="R59" i="13"/>
  <c r="C60" i="13"/>
  <c r="AE59" i="13"/>
  <c r="AA60" i="13"/>
  <c r="U56" i="13"/>
  <c r="R60" i="13"/>
  <c r="AG57" i="13"/>
  <c r="R57" i="13"/>
  <c r="AD57" i="13"/>
  <c r="C57" i="13"/>
  <c r="X57" i="13"/>
  <c r="B57" i="13"/>
  <c r="AA57" i="13"/>
  <c r="AE57" i="13"/>
  <c r="U57" i="13"/>
  <c r="K57" i="13"/>
  <c r="AI39" i="13"/>
  <c r="AA55" i="13"/>
  <c r="C55" i="13"/>
  <c r="U55" i="13"/>
  <c r="AD55" i="13"/>
  <c r="AG55" i="13"/>
  <c r="K55" i="13"/>
  <c r="X55" i="13"/>
  <c r="B55" i="13"/>
  <c r="R55" i="13"/>
  <c r="AE55" i="13"/>
  <c r="AE61" i="13"/>
  <c r="X61" i="13"/>
  <c r="K61" i="13"/>
  <c r="B61" i="13"/>
  <c r="U61" i="13"/>
  <c r="AA61" i="13"/>
  <c r="R61" i="13"/>
  <c r="C61" i="13"/>
  <c r="AG61" i="13"/>
  <c r="AD61" i="13"/>
  <c r="U58" i="13"/>
  <c r="AG58" i="13"/>
  <c r="R58" i="13"/>
  <c r="AE58" i="13"/>
  <c r="K58" i="13"/>
  <c r="AA58" i="13"/>
  <c r="C58" i="13"/>
  <c r="B58" i="13"/>
  <c r="AD58" i="13"/>
  <c r="AH59" i="13" l="1"/>
  <c r="AH57" i="13"/>
  <c r="AH58" i="13"/>
  <c r="AH61" i="13"/>
  <c r="AH55" i="13"/>
</calcChain>
</file>

<file path=xl/sharedStrings.xml><?xml version="1.0" encoding="utf-8"?>
<sst xmlns="http://schemas.openxmlformats.org/spreadsheetml/2006/main" count="467" uniqueCount="238">
  <si>
    <t>v</t>
  </si>
  <si>
    <t>Startující</t>
  </si>
  <si>
    <t>JMÉNO</t>
  </si>
  <si>
    <t>Rozhodčí</t>
  </si>
  <si>
    <t>Rozhodčí:</t>
  </si>
  <si>
    <t>Výsledky</t>
  </si>
  <si>
    <t>Body</t>
  </si>
  <si>
    <t>Místo</t>
  </si>
  <si>
    <t>:</t>
  </si>
  <si>
    <t>Různé</t>
  </si>
  <si>
    <t>1.</t>
  </si>
  <si>
    <t>2.</t>
  </si>
  <si>
    <t>5.</t>
  </si>
  <si>
    <t>6.</t>
  </si>
  <si>
    <t>4.</t>
  </si>
  <si>
    <t>3.</t>
  </si>
  <si>
    <t>7.</t>
  </si>
  <si>
    <t>Poločas</t>
  </si>
  <si>
    <t>Výsledek</t>
  </si>
  <si>
    <t>------------</t>
  </si>
  <si>
    <t xml:space="preserve">PROTOKOL - ČESKÝ SVAZ CYKLISTIKY  </t>
  </si>
  <si>
    <t>Konečné pořadí</t>
  </si>
  <si>
    <t>Branky poločasů</t>
  </si>
  <si>
    <t>1.druž.</t>
  </si>
  <si>
    <t>2.druž.</t>
  </si>
  <si>
    <t>-----------</t>
  </si>
  <si>
    <t>Nasazení družstev</t>
  </si>
  <si>
    <t>Branky</t>
  </si>
  <si>
    <t>MIMO OBLAST TISKU</t>
  </si>
  <si>
    <t>Kontrola počtu zápasů</t>
  </si>
  <si>
    <t>CZ</t>
  </si>
  <si>
    <t>EN</t>
  </si>
  <si>
    <t>DE</t>
  </si>
  <si>
    <t>Hlavní rozhodčí:</t>
  </si>
  <si>
    <t>Časoměřič:</t>
  </si>
  <si>
    <t>Zapisovatel:</t>
  </si>
  <si>
    <t>Za pořadatele:</t>
  </si>
  <si>
    <t>Resultate</t>
  </si>
  <si>
    <t>Tore</t>
  </si>
  <si>
    <t>Veranstaltung:</t>
  </si>
  <si>
    <t>Datum:</t>
  </si>
  <si>
    <t>in</t>
  </si>
  <si>
    <t>Spielfläche:</t>
  </si>
  <si>
    <t>hrací plocha:</t>
  </si>
  <si>
    <t>doba hry:</t>
  </si>
  <si>
    <t>Spiel Zeit:</t>
  </si>
  <si>
    <t>Teilnahme</t>
  </si>
  <si>
    <t>Spieler</t>
  </si>
  <si>
    <t>Verein</t>
  </si>
  <si>
    <t>Zeitnehmer:</t>
  </si>
  <si>
    <t>Schriftführer:</t>
  </si>
  <si>
    <t>Kommissäre:</t>
  </si>
  <si>
    <t>Kommissäre</t>
  </si>
  <si>
    <t>Andere</t>
  </si>
  <si>
    <t>Veranstalter:</t>
  </si>
  <si>
    <t>Endstand</t>
  </si>
  <si>
    <t>Diff.</t>
  </si>
  <si>
    <t>Rozdíl</t>
  </si>
  <si>
    <t>S</t>
  </si>
  <si>
    <t>U</t>
  </si>
  <si>
    <t>N</t>
  </si>
  <si>
    <t>Sp.</t>
  </si>
  <si>
    <t>Počet</t>
  </si>
  <si>
    <t>Poř</t>
  </si>
  <si>
    <t>Rang</t>
  </si>
  <si>
    <t>Halle - Sportklub:</t>
  </si>
  <si>
    <t>Jména</t>
  </si>
  <si>
    <t>Namen</t>
  </si>
  <si>
    <t>Punk.</t>
  </si>
  <si>
    <t>ERGEBNISSE - TSCHECHISCH VERBAND RADSPORT</t>
  </si>
  <si>
    <t>o soutěži v kolové:</t>
  </si>
  <si>
    <t>konané dne:</t>
  </si>
  <si>
    <t xml:space="preserve">CZECH CYCLING FEDERATION 
</t>
  </si>
  <si>
    <t>Rem.</t>
  </si>
  <si>
    <t>Prohry</t>
  </si>
  <si>
    <t>Č.</t>
  </si>
  <si>
    <t>Prosím pro jazyk zadejte číslo v buňce $L$2 (CZ=1, D=2, EN=3 )</t>
  </si>
  <si>
    <t>Bitte die Nr. der gewünschten $L$2 eingeben (CZ=1,D=2,EN=3)</t>
  </si>
  <si>
    <t>Please for language enter number $L$2 (CZ=1,D=2,EN=3)</t>
  </si>
  <si>
    <t>Commissaire:</t>
  </si>
  <si>
    <t>Chief commissaire:</t>
  </si>
  <si>
    <t>Time-keeper :</t>
  </si>
  <si>
    <t>Secretary:</t>
  </si>
  <si>
    <t>Date:</t>
  </si>
  <si>
    <t>Sports club:</t>
  </si>
  <si>
    <t>Size of the field:</t>
  </si>
  <si>
    <t xml:space="preserve">Match times: </t>
  </si>
  <si>
    <t>Sports club</t>
  </si>
  <si>
    <t>Team members</t>
  </si>
  <si>
    <t>Name</t>
  </si>
  <si>
    <t>Results</t>
  </si>
  <si>
    <t>Poitns</t>
  </si>
  <si>
    <t>Score</t>
  </si>
  <si>
    <t>Various</t>
  </si>
  <si>
    <t>Ranking</t>
  </si>
  <si>
    <t>Final rankings</t>
  </si>
  <si>
    <t>R.</t>
  </si>
  <si>
    <t>Names</t>
  </si>
  <si>
    <t>Count</t>
  </si>
  <si>
    <t>Win</t>
  </si>
  <si>
    <t>Draw</t>
  </si>
  <si>
    <t>Loss</t>
  </si>
  <si>
    <t>Tourney-cycle-ball:</t>
  </si>
  <si>
    <t>Chief-Kommissär:</t>
  </si>
  <si>
    <t>Organizer:</t>
  </si>
  <si>
    <t>Buňky obsahují vzorce</t>
  </si>
  <si>
    <t>vyplňujte pouze pravou horní část tabulky</t>
  </si>
  <si>
    <t>Nr.</t>
  </si>
  <si>
    <t>No.</t>
  </si>
  <si>
    <t>1. Manschaft</t>
  </si>
  <si>
    <t>1.Team</t>
  </si>
  <si>
    <t>2. Manschaft</t>
  </si>
  <si>
    <t>2.Team</t>
  </si>
  <si>
    <t>Commissaire</t>
  </si>
  <si>
    <t>Tore-Halbzeit</t>
  </si>
  <si>
    <t>Score half-times</t>
  </si>
  <si>
    <t>1. Man.</t>
  </si>
  <si>
    <t>2. Man.</t>
  </si>
  <si>
    <t>Halbzeit</t>
  </si>
  <si>
    <t>Half-times</t>
  </si>
  <si>
    <t>DANEBEN DRUCKFLÄCHE</t>
  </si>
  <si>
    <t>EXCEPT AREA PRINTING</t>
  </si>
  <si>
    <t>Ansatz Teams</t>
  </si>
  <si>
    <t xml:space="preserve">Setting teams
</t>
  </si>
  <si>
    <t>Kontrolle der Anzahl Kampf</t>
  </si>
  <si>
    <t>Control of the number of matchs</t>
  </si>
  <si>
    <t>Pořadí zápasů - 7 družstev</t>
  </si>
  <si>
    <t>Sequence matchs - 7 teams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</si>
  <si>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</si>
  <si>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</si>
  <si>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</si>
  <si>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</si>
  <si>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</si>
  <si>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</si>
  <si>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</si>
  <si>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</si>
  <si>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</si>
  <si>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</si>
  <si>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</si>
  <si>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</si>
  <si>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</si>
  <si>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</si>
  <si>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1. družstvo</t>
  </si>
  <si>
    <t>2. družstvo</t>
  </si>
  <si>
    <t>1. Team</t>
  </si>
  <si>
    <t>2. Team</t>
  </si>
  <si>
    <t>Spielplan - 7 Teams</t>
  </si>
  <si>
    <t>nebo podle výsledku vzájemného utkání</t>
  </si>
  <si>
    <t>NEBO se výsledky načtou z listu "Pořadí…"</t>
  </si>
  <si>
    <t>-</t>
  </si>
  <si>
    <t>Výhra</t>
  </si>
  <si>
    <t>Prohra</t>
  </si>
  <si>
    <t>Remíza</t>
  </si>
  <si>
    <t>počet</t>
  </si>
  <si>
    <t>výhra</t>
  </si>
  <si>
    <t>remíza</t>
  </si>
  <si>
    <t>prohra</t>
  </si>
  <si>
    <r>
      <t xml:space="preserve">Buňky </t>
    </r>
    <r>
      <rPr>
        <b/>
        <sz val="10"/>
        <color indexed="10"/>
        <rFont val="Arial CE"/>
        <charset val="238"/>
      </rPr>
      <t>obsahují vzorce</t>
    </r>
  </si>
  <si>
    <t>body</t>
  </si>
  <si>
    <t>branky</t>
  </si>
  <si>
    <t>Výhry</t>
  </si>
  <si>
    <t>EN = 3</t>
  </si>
  <si>
    <t>CZ = 1</t>
  </si>
  <si>
    <t>DE = 2</t>
  </si>
  <si>
    <t>tělovýchovným spolkem - klubem:</t>
  </si>
  <si>
    <t>Těl. spolek - klub</t>
  </si>
  <si>
    <t>minut</t>
  </si>
  <si>
    <t>x</t>
  </si>
  <si>
    <t>m</t>
  </si>
  <si>
    <t>Kontrola:</t>
  </si>
  <si>
    <t>Kontrolle:</t>
  </si>
  <si>
    <t>Control:</t>
  </si>
  <si>
    <t>Prosím pro jazyk zadejte číslo</t>
  </si>
  <si>
    <t>Bitte die Nr. der gewünschten Sprache eingeben</t>
  </si>
  <si>
    <t>Please for language enter number</t>
  </si>
  <si>
    <r>
      <t>"</t>
    </r>
    <r>
      <rPr>
        <b/>
        <u/>
        <sz val="11"/>
        <color indexed="10"/>
        <rFont val="Arial CE"/>
        <charset val="238"/>
      </rPr>
      <t>Horší místo</t>
    </r>
    <r>
      <rPr>
        <b/>
        <sz val="10"/>
        <color indexed="10"/>
        <rFont val="Arial CE"/>
        <charset val="238"/>
      </rPr>
      <t>" přepište dle skóre a více vstř. branek</t>
    </r>
  </si>
  <si>
    <r>
      <t>ČERVENÁ BUŇKA JE PŘI ROVNOSTI BOD</t>
    </r>
    <r>
      <rPr>
        <b/>
        <sz val="10"/>
        <rFont val="Arial"/>
        <family val="2"/>
        <charset val="238"/>
      </rPr>
      <t>Ů</t>
    </r>
  </si>
  <si>
    <t>Při hlášení buňky</t>
  </si>
  <si>
    <t>Zkontrolujte sestavy družstev</t>
  </si>
  <si>
    <t>OPRAVTE pořadí (místo) u horšího družstva = červené pole</t>
  </si>
  <si>
    <t>upřesní hl. rozhodčí</t>
  </si>
  <si>
    <t>doba hry</t>
  </si>
  <si>
    <t>prázdné</t>
  </si>
  <si>
    <t>Lokomotiva Liberec</t>
  </si>
  <si>
    <t>Mlékárna Olešnice cykloklub Svitávka</t>
  </si>
  <si>
    <t>Sálová cyklistika Svitávka</t>
  </si>
  <si>
    <t>SK Chodsko</t>
  </si>
  <si>
    <t>SK SC PRIMA Nezamyslice</t>
  </si>
  <si>
    <t>TJ Favorit Brno</t>
  </si>
  <si>
    <t>TJ MILO Olomouc</t>
  </si>
  <si>
    <t>TJ Pankrác Praha</t>
  </si>
  <si>
    <t>TJ Sokol Šitbořice</t>
  </si>
  <si>
    <t>TJ Sokol Zlín-Prštné</t>
  </si>
  <si>
    <t>TJ Spartak Chrastava</t>
  </si>
  <si>
    <t>TJ Spartak Přerov</t>
  </si>
  <si>
    <t>TJ START Plzeň</t>
  </si>
  <si>
    <t>UCI-ID</t>
  </si>
  <si>
    <t>Hrdlička Jiří</t>
  </si>
  <si>
    <t>Hrdlička Jiří ml.</t>
  </si>
  <si>
    <t>Staněk Roman</t>
  </si>
  <si>
    <t>Sokol Zlín-Prštné 1</t>
  </si>
  <si>
    <t>Zvolánek Robert</t>
  </si>
  <si>
    <t>SC Svitávka</t>
  </si>
  <si>
    <t>Favorit Brno</t>
  </si>
  <si>
    <t>SC</t>
  </si>
  <si>
    <t>FAV</t>
  </si>
  <si>
    <t>Kripner Jan</t>
  </si>
  <si>
    <t>Celkem</t>
  </si>
  <si>
    <t>Sokol Zlín-Prštné 2</t>
  </si>
  <si>
    <t>ZLN 1</t>
  </si>
  <si>
    <t>ZLN 2</t>
  </si>
  <si>
    <t>Adam Radek</t>
  </si>
  <si>
    <t>Horák Tomáš</t>
  </si>
  <si>
    <t>Prima Nezamyslice</t>
  </si>
  <si>
    <t>MO Svitávka</t>
  </si>
  <si>
    <t>Přikryl Martin</t>
  </si>
  <si>
    <t>Přikryl Petr</t>
  </si>
  <si>
    <t>Startovné družstev á 1000,- Kč uhrazeno. Náhrady rozhodčím á 1000,- Kč vyplaceny dle STS SC ČSC.</t>
  </si>
  <si>
    <t>1. místo v MČR - Mistr ČR 2024</t>
  </si>
  <si>
    <t>2. místo v MČR 2024</t>
  </si>
  <si>
    <t>3. místo v MČR 2024</t>
  </si>
  <si>
    <t>4. místo v MČR 2024</t>
  </si>
  <si>
    <t>5. místo v Extralize 2024</t>
  </si>
  <si>
    <t>postupující z I.Ligy 2024</t>
  </si>
  <si>
    <t>Sokol Šitbořice</t>
  </si>
  <si>
    <t>Baxa Jáchym</t>
  </si>
  <si>
    <t>Baxa Vojtěch</t>
  </si>
  <si>
    <t>Drabálek Martin</t>
  </si>
  <si>
    <t>Písek Ludvík</t>
  </si>
  <si>
    <t>MO</t>
  </si>
  <si>
    <t>ŠIT</t>
  </si>
  <si>
    <t>NEZ</t>
  </si>
  <si>
    <r>
      <t xml:space="preserve">ELITE - </t>
    </r>
    <r>
      <rPr>
        <b/>
        <sz val="16"/>
        <color rgb="FF002060"/>
        <rFont val="Arial CE"/>
        <charset val="238"/>
      </rPr>
      <t>ŠKODA EXTRALIGA -</t>
    </r>
    <r>
      <rPr>
        <b/>
        <sz val="14"/>
        <color rgb="FF002060"/>
        <rFont val="Arial CE"/>
        <charset val="238"/>
      </rPr>
      <t xml:space="preserve"> </t>
    </r>
    <r>
      <rPr>
        <b/>
        <sz val="14"/>
        <color rgb="FFFF0000"/>
        <rFont val="Arial CE"/>
        <charset val="238"/>
      </rPr>
      <t>2. kolo</t>
    </r>
  </si>
  <si>
    <t>Brno</t>
  </si>
  <si>
    <t>Havlíček Jan</t>
  </si>
  <si>
    <t>Date:
13.4.2025</t>
  </si>
  <si>
    <t>Kat: ELITE
E-Liga-2.k.</t>
  </si>
  <si>
    <t>Struhař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</si>
</sst>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4"/>
      <color indexed="56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Wingdings"/>
      <charset val="2"/>
    </font>
    <font>
      <sz val="10"/>
      <color indexed="56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10"/>
      <name val="Arial CE"/>
      <family val="2"/>
      <charset val="238"/>
    </font>
    <font>
      <sz val="18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20"/>
      <name val="Arial MT CE Black"/>
      <family val="2"/>
      <charset val="238"/>
    </font>
    <font>
      <sz val="2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8"/>
      <color indexed="8"/>
      <name val="Arial CE"/>
      <family val="2"/>
      <charset val="238"/>
    </font>
    <font>
      <b/>
      <sz val="18"/>
      <name val="Arial CE"/>
      <family val="2"/>
      <charset val="238"/>
    </font>
    <font>
      <sz val="9"/>
      <color indexed="8"/>
      <name val="Arial CE"/>
      <family val="2"/>
      <charset val="238"/>
    </font>
    <font>
      <sz val="8"/>
      <color indexed="9"/>
      <name val="Arial CE"/>
      <charset val="238"/>
    </font>
    <font>
      <b/>
      <sz val="10"/>
      <color indexed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7"/>
      <name val="Arial CE"/>
      <charset val="238"/>
    </font>
    <font>
      <sz val="12"/>
      <name val="Arial CE"/>
      <charset val="238"/>
    </font>
    <font>
      <b/>
      <u/>
      <sz val="11"/>
      <color indexed="10"/>
      <name val="Arial CE"/>
      <charset val="238"/>
    </font>
    <font>
      <b/>
      <sz val="10"/>
      <color theme="0"/>
      <name val="Arial CE"/>
      <family val="2"/>
      <charset val="238"/>
    </font>
    <font>
      <sz val="10"/>
      <color rgb="FF003366"/>
      <name val="Arial CE"/>
      <family val="2"/>
      <charset val="238"/>
    </font>
    <font>
      <b/>
      <sz val="12"/>
      <color theme="0"/>
      <name val="Arial CE"/>
      <charset val="238"/>
    </font>
    <font>
      <sz val="10"/>
      <color theme="0"/>
      <name val="Arial CE"/>
      <charset val="238"/>
    </font>
    <font>
      <b/>
      <sz val="12"/>
      <color rgb="FF002060"/>
      <name val="Arial CE"/>
      <family val="2"/>
      <charset val="238"/>
    </font>
    <font>
      <sz val="10"/>
      <color rgb="FF002060"/>
      <name val="Arial CE"/>
      <family val="2"/>
      <charset val="238"/>
    </font>
    <font>
      <b/>
      <sz val="14"/>
      <color rgb="FF002060"/>
      <name val="Arial CE"/>
      <family val="2"/>
      <charset val="238"/>
    </font>
    <font>
      <sz val="10"/>
      <color rgb="FF002060"/>
      <name val="Arial CE"/>
      <charset val="238"/>
    </font>
    <font>
      <b/>
      <sz val="11"/>
      <color rgb="FFFF0000"/>
      <name val="Arial CE"/>
      <charset val="238"/>
    </font>
    <font>
      <sz val="10"/>
      <color rgb="FF0000FF"/>
      <name val="Arial CE"/>
      <charset val="238"/>
    </font>
    <font>
      <b/>
      <sz val="10"/>
      <color rgb="FFFF0000"/>
      <name val="Arial CE"/>
      <charset val="238"/>
    </font>
    <font>
      <b/>
      <sz val="10"/>
      <color rgb="FF002060"/>
      <name val="Arial CE"/>
      <charset val="238"/>
    </font>
    <font>
      <sz val="9"/>
      <color rgb="FF002060"/>
      <name val="System"/>
      <family val="2"/>
      <charset val="238"/>
    </font>
    <font>
      <b/>
      <sz val="11"/>
      <color rgb="FF002060"/>
      <name val="Arial CE"/>
      <family val="2"/>
      <charset val="238"/>
    </font>
    <font>
      <b/>
      <sz val="8"/>
      <color rgb="FFFF0000"/>
      <name val="Arial CE"/>
      <charset val="238"/>
    </font>
    <font>
      <sz val="10"/>
      <color rgb="FFFF0000"/>
      <name val="Arial CE"/>
      <charset val="238"/>
    </font>
    <font>
      <sz val="10"/>
      <color rgb="FF003399"/>
      <name val="Arial CE"/>
      <family val="2"/>
      <charset val="238"/>
    </font>
    <font>
      <sz val="8"/>
      <color rgb="FFFF0000"/>
      <name val="Arial CE"/>
      <charset val="238"/>
    </font>
    <font>
      <b/>
      <sz val="12"/>
      <color rgb="FF002060"/>
      <name val="Arial CE"/>
      <charset val="238"/>
    </font>
    <font>
      <sz val="10"/>
      <color theme="1"/>
      <name val="Arial CE"/>
      <charset val="238"/>
    </font>
    <font>
      <sz val="20"/>
      <color theme="1"/>
      <name val="Arial CE"/>
      <charset val="238"/>
    </font>
    <font>
      <sz val="12"/>
      <color rgb="FF002060"/>
      <name val="Arial CE"/>
      <family val="2"/>
      <charset val="238"/>
    </font>
    <font>
      <b/>
      <sz val="16"/>
      <color theme="0"/>
      <name val="Arial CE"/>
      <charset val="238"/>
    </font>
    <font>
      <sz val="11"/>
      <color rgb="FF00206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0"/>
      <color rgb="FF002060"/>
      <name val="Arial CE"/>
      <family val="2"/>
      <charset val="238"/>
    </font>
    <font>
      <sz val="12"/>
      <color rgb="FF002060"/>
      <name val="Arial CE"/>
      <charset val="238"/>
    </font>
    <font>
      <b/>
      <sz val="14"/>
      <color rgb="FF002060"/>
      <name val="Arial CE"/>
      <charset val="238"/>
    </font>
    <font>
      <b/>
      <sz val="12"/>
      <color rgb="FF003366"/>
      <name val="Arial CE"/>
      <charset val="238"/>
    </font>
    <font>
      <sz val="12"/>
      <color rgb="FF000058"/>
      <name val="Arial CE"/>
      <family val="2"/>
      <charset val="238"/>
    </font>
    <font>
      <b/>
      <sz val="10"/>
      <color rgb="FF000058"/>
      <name val="Arial CE"/>
      <charset val="238"/>
    </font>
    <font>
      <sz val="10"/>
      <color rgb="FF000058"/>
      <name val="Arial CE"/>
      <charset val="238"/>
    </font>
    <font>
      <b/>
      <sz val="12"/>
      <color rgb="FF000058"/>
      <name val="Arial CE"/>
      <charset val="238"/>
    </font>
    <font>
      <b/>
      <sz val="8"/>
      <color rgb="FF000058"/>
      <name val="Arial CE"/>
      <charset val="238"/>
    </font>
    <font>
      <b/>
      <sz val="8"/>
      <color rgb="FF002060"/>
      <name val="Arial CE"/>
      <charset val="238"/>
    </font>
    <font>
      <sz val="12"/>
      <color rgb="FF000058"/>
      <name val="Arial CE"/>
      <charset val="238"/>
    </font>
    <font>
      <b/>
      <sz val="16"/>
      <color rgb="FF002060"/>
      <name val="Arial CE"/>
      <charset val="238"/>
    </font>
    <font>
      <b/>
      <sz val="14"/>
      <color rgb="FFFF0000"/>
      <name val="Arial CE"/>
      <charset val="238"/>
    </font>
    <font>
      <b/>
      <sz val="8"/>
      <color rgb="FF002060"/>
      <name val="Arial CE"/>
      <family val="2"/>
      <charset val="238"/>
    </font>
    <font>
      <sz val="8"/>
      <color rgb="FF002060"/>
      <name val="Arial CE"/>
      <family val="2"/>
      <charset val="238"/>
    </font>
    <font>
      <sz val="11"/>
      <color rgb="FF002060"/>
      <name val="Arial CE"/>
      <charset val="238"/>
    </font>
    <font>
      <b/>
      <sz val="11"/>
      <color rgb="FF002060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0" fillId="0" borderId="1" xfId="0" applyBorder="1" applyAlignment="1">
      <alignment horizontal="centerContinuous"/>
    </xf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horizontal="centerContinuous"/>
    </xf>
    <xf numFmtId="0" fontId="2" fillId="0" borderId="0" xfId="0" applyFont="1"/>
    <xf numFmtId="0" fontId="3" fillId="0" borderId="0" xfId="0" applyFont="1"/>
    <xf numFmtId="0" fontId="0" fillId="0" borderId="0" xfId="0" applyBorder="1" applyProtection="1">
      <protection locked="0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0" fillId="0" borderId="0" xfId="0" applyProtection="1"/>
    <xf numFmtId="0" fontId="0" fillId="0" borderId="0" xfId="0" applyFill="1" applyProtection="1"/>
    <xf numFmtId="0" fontId="3" fillId="0" borderId="0" xfId="0" applyFont="1" applyProtection="1"/>
    <xf numFmtId="0" fontId="8" fillId="0" borderId="0" xfId="0" applyFont="1" applyAlignment="1">
      <alignment horizontal="center"/>
    </xf>
    <xf numFmtId="0" fontId="9" fillId="0" borderId="3" xfId="0" applyFont="1" applyBorder="1" applyProtection="1">
      <protection locked="0"/>
    </xf>
    <xf numFmtId="0" fontId="12" fillId="0" borderId="0" xfId="0" applyFont="1"/>
    <xf numFmtId="49" fontId="13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/>
    <xf numFmtId="49" fontId="16" fillId="0" borderId="5" xfId="0" applyNumberFormat="1" applyFont="1" applyFill="1" applyBorder="1"/>
    <xf numFmtId="1" fontId="16" fillId="0" borderId="6" xfId="0" applyNumberFormat="1" applyFont="1" applyFill="1" applyBorder="1" applyAlignment="1">
      <alignment horizontal="center"/>
    </xf>
    <xf numFmtId="49" fontId="16" fillId="0" borderId="6" xfId="0" applyNumberFormat="1" applyFont="1" applyFill="1" applyBorder="1" applyAlignment="1">
      <alignment horizontal="center"/>
    </xf>
    <xf numFmtId="49" fontId="16" fillId="0" borderId="7" xfId="0" applyNumberFormat="1" applyFont="1" applyFill="1" applyBorder="1" applyAlignment="1">
      <alignment horizontal="right"/>
    </xf>
    <xf numFmtId="0" fontId="1" fillId="0" borderId="8" xfId="0" applyFont="1" applyBorder="1" applyAlignment="1"/>
    <xf numFmtId="0" fontId="35" fillId="0" borderId="0" xfId="0" applyFont="1" applyProtection="1"/>
    <xf numFmtId="0" fontId="1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Continuous" vertical="center"/>
    </xf>
    <xf numFmtId="0" fontId="18" fillId="0" borderId="0" xfId="0" applyFont="1" applyBorder="1" applyAlignment="1">
      <alignment vertical="center"/>
    </xf>
    <xf numFmtId="0" fontId="15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Continuous" vertical="center"/>
    </xf>
    <xf numFmtId="0" fontId="18" fillId="0" borderId="2" xfId="0" applyFont="1" applyFill="1" applyBorder="1" applyAlignment="1">
      <alignment horizontal="centerContinuous" vertical="center"/>
    </xf>
    <xf numFmtId="0" fontId="18" fillId="0" borderId="0" xfId="0" applyFont="1" applyFill="1" applyBorder="1" applyAlignment="1">
      <alignment vertical="center"/>
    </xf>
    <xf numFmtId="0" fontId="1" fillId="0" borderId="1" xfId="0" applyFont="1" applyBorder="1" applyAlignment="1"/>
    <xf numFmtId="0" fontId="0" fillId="0" borderId="6" xfId="0" applyBorder="1" applyAlignment="1">
      <alignment horizontal="center"/>
    </xf>
    <xf numFmtId="0" fontId="19" fillId="3" borderId="0" xfId="0" applyFont="1" applyFill="1"/>
    <xf numFmtId="0" fontId="4" fillId="0" borderId="6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1" fillId="0" borderId="0" xfId="0" applyNumberFormat="1" applyFont="1" applyBorder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0" fillId="4" borderId="0" xfId="0" applyFill="1"/>
    <xf numFmtId="0" fontId="20" fillId="0" borderId="0" xfId="0" applyFont="1" applyAlignment="1">
      <alignment horizontal="right"/>
    </xf>
    <xf numFmtId="0" fontId="20" fillId="0" borderId="0" xfId="0" applyFont="1" applyAlignment="1" applyProtection="1">
      <alignment horizontal="right"/>
    </xf>
    <xf numFmtId="0" fontId="5" fillId="0" borderId="6" xfId="0" applyNumberFormat="1" applyFont="1" applyBorder="1" applyAlignment="1">
      <alignment horizontal="center"/>
    </xf>
    <xf numFmtId="0" fontId="36" fillId="5" borderId="0" xfId="0" applyFont="1" applyFill="1"/>
    <xf numFmtId="0" fontId="37" fillId="5" borderId="0" xfId="0" applyFont="1" applyFill="1"/>
    <xf numFmtId="0" fontId="21" fillId="0" borderId="0" xfId="0" applyFont="1" applyFill="1" applyBorder="1" applyAlignment="1"/>
    <xf numFmtId="0" fontId="0" fillId="0" borderId="0" xfId="0" applyAlignment="1"/>
    <xf numFmtId="0" fontId="19" fillId="0" borderId="0" xfId="0" applyFont="1" applyAlignment="1"/>
    <xf numFmtId="49" fontId="16" fillId="0" borderId="0" xfId="0" applyNumberFormat="1" applyFont="1" applyFill="1" applyBorder="1" applyAlignment="1">
      <alignment horizontal="center"/>
    </xf>
    <xf numFmtId="0" fontId="18" fillId="4" borderId="0" xfId="0" applyFont="1" applyFill="1" applyBorder="1" applyAlignment="1">
      <alignment vertical="center"/>
    </xf>
    <xf numFmtId="0" fontId="12" fillId="4" borderId="0" xfId="0" applyFont="1" applyFill="1"/>
    <xf numFmtId="0" fontId="38" fillId="0" borderId="3" xfId="0" applyFont="1" applyBorder="1" applyProtection="1">
      <protection locked="0"/>
    </xf>
    <xf numFmtId="0" fontId="39" fillId="0" borderId="3" xfId="0" applyFont="1" applyBorder="1" applyProtection="1">
      <protection locked="0"/>
    </xf>
    <xf numFmtId="0" fontId="40" fillId="0" borderId="3" xfId="0" applyFont="1" applyBorder="1" applyProtection="1">
      <protection locked="0"/>
    </xf>
    <xf numFmtId="0" fontId="41" fillId="0" borderId="3" xfId="0" applyFont="1" applyBorder="1" applyProtection="1">
      <protection locked="0"/>
    </xf>
    <xf numFmtId="0" fontId="23" fillId="0" borderId="0" xfId="0" applyFont="1" applyFill="1" applyBorder="1" applyAlignment="1"/>
    <xf numFmtId="0" fontId="16" fillId="0" borderId="0" xfId="0" applyFont="1" applyAlignment="1"/>
    <xf numFmtId="0" fontId="16" fillId="0" borderId="0" xfId="0" applyFont="1"/>
    <xf numFmtId="0" fontId="23" fillId="0" borderId="0" xfId="0" applyNumberFormat="1" applyFont="1" applyBorder="1" applyAlignment="1"/>
    <xf numFmtId="0" fontId="0" fillId="6" borderId="0" xfId="0" applyFill="1" applyAlignment="1"/>
    <xf numFmtId="0" fontId="12" fillId="6" borderId="0" xfId="0" applyFont="1" applyFill="1" applyAlignment="1"/>
    <xf numFmtId="0" fontId="12" fillId="0" borderId="0" xfId="0" applyFont="1" applyAlignment="1"/>
    <xf numFmtId="0" fontId="19" fillId="0" borderId="0" xfId="0" applyFont="1" applyAlignment="1">
      <alignment wrapText="1"/>
    </xf>
    <xf numFmtId="0" fontId="24" fillId="6" borderId="0" xfId="0" applyFont="1" applyFill="1" applyAlignment="1"/>
    <xf numFmtId="0" fontId="16" fillId="0" borderId="5" xfId="0" applyFont="1" applyFill="1" applyBorder="1"/>
    <xf numFmtId="0" fontId="16" fillId="0" borderId="7" xfId="0" applyFont="1" applyFill="1" applyBorder="1" applyAlignment="1">
      <alignment horizontal="righ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0" fillId="0" borderId="1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45" fillId="0" borderId="15" xfId="0" applyFont="1" applyBorder="1" applyProtection="1">
      <protection locked="0"/>
    </xf>
    <xf numFmtId="0" fontId="45" fillId="0" borderId="0" xfId="0" applyFont="1" applyBorder="1" applyProtection="1">
      <protection locked="0"/>
    </xf>
    <xf numFmtId="0" fontId="11" fillId="0" borderId="6" xfId="0" applyFont="1" applyFill="1" applyBorder="1" applyAlignment="1">
      <alignment horizontal="center"/>
    </xf>
    <xf numFmtId="49" fontId="46" fillId="0" borderId="6" xfId="0" applyNumberFormat="1" applyFont="1" applyBorder="1" applyAlignment="1">
      <alignment horizontal="center" vertical="center"/>
    </xf>
    <xf numFmtId="49" fontId="0" fillId="0" borderId="0" xfId="0" applyNumberFormat="1"/>
    <xf numFmtId="49" fontId="18" fillId="0" borderId="2" xfId="0" applyNumberFormat="1" applyFont="1" applyFill="1" applyBorder="1" applyAlignment="1">
      <alignment horizontal="centerContinuous" vertical="center"/>
    </xf>
    <xf numFmtId="0" fontId="15" fillId="7" borderId="16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47" fillId="0" borderId="0" xfId="0" applyFont="1" applyBorder="1" applyAlignment="1" applyProtection="1">
      <alignment horizontal="left"/>
      <protection locked="0"/>
    </xf>
    <xf numFmtId="0" fontId="47" fillId="0" borderId="0" xfId="0" applyFont="1" applyBorder="1" applyProtection="1">
      <protection locked="0"/>
    </xf>
    <xf numFmtId="0" fontId="5" fillId="0" borderId="0" xfId="0" applyFont="1" applyAlignment="1">
      <alignment wrapText="1"/>
    </xf>
    <xf numFmtId="0" fontId="38" fillId="0" borderId="17" xfId="0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/>
    </xf>
    <xf numFmtId="0" fontId="38" fillId="0" borderId="18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1" fillId="8" borderId="0" xfId="0" applyFont="1" applyFill="1"/>
    <xf numFmtId="1" fontId="0" fillId="0" borderId="0" xfId="0" applyNumberFormat="1"/>
    <xf numFmtId="49" fontId="0" fillId="0" borderId="0" xfId="0" applyNumberFormat="1" applyAlignment="1">
      <alignment horizontal="right"/>
    </xf>
    <xf numFmtId="0" fontId="45" fillId="0" borderId="0" xfId="0" applyFont="1" applyAlignment="1">
      <alignment horizontal="right"/>
    </xf>
    <xf numFmtId="0" fontId="19" fillId="0" borderId="0" xfId="0" applyFont="1" applyBorder="1" applyAlignment="1"/>
    <xf numFmtId="0" fontId="0" fillId="0" borderId="0" xfId="0" applyBorder="1" applyAlignment="1">
      <alignment horizontal="center"/>
    </xf>
    <xf numFmtId="0" fontId="45" fillId="5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13" fillId="0" borderId="0" xfId="0" applyNumberFormat="1" applyFont="1" applyAlignment="1">
      <alignment horizontal="center" vertical="center"/>
    </xf>
    <xf numFmtId="0" fontId="16" fillId="0" borderId="4" xfId="0" applyNumberFormat="1" applyFont="1" applyFill="1" applyBorder="1" applyAlignment="1">
      <alignment horizontal="right"/>
    </xf>
    <xf numFmtId="0" fontId="0" fillId="9" borderId="0" xfId="0" applyNumberFormat="1" applyFill="1"/>
    <xf numFmtId="0" fontId="0" fillId="9" borderId="0" xfId="0" applyFill="1"/>
    <xf numFmtId="0" fontId="48" fillId="0" borderId="19" xfId="0" applyFont="1" applyBorder="1" applyAlignment="1"/>
    <xf numFmtId="0" fontId="0" fillId="0" borderId="19" xfId="0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50" fillId="0" borderId="0" xfId="0" applyFont="1" applyBorder="1" applyAlignment="1" applyProtection="1">
      <protection locked="0"/>
    </xf>
    <xf numFmtId="0" fontId="51" fillId="0" borderId="0" xfId="0" applyFont="1" applyAlignment="1"/>
    <xf numFmtId="0" fontId="52" fillId="0" borderId="20" xfId="0" applyFont="1" applyBorder="1" applyProtection="1">
      <protection locked="0"/>
    </xf>
    <xf numFmtId="0" fontId="41" fillId="0" borderId="20" xfId="0" applyFont="1" applyBorder="1" applyProtection="1">
      <protection locked="0"/>
    </xf>
    <xf numFmtId="0" fontId="2" fillId="0" borderId="21" xfId="0" applyFont="1" applyBorder="1"/>
    <xf numFmtId="0" fontId="6" fillId="0" borderId="21" xfId="0" applyFont="1" applyBorder="1" applyProtection="1">
      <protection locked="0"/>
    </xf>
    <xf numFmtId="0" fontId="2" fillId="0" borderId="21" xfId="0" applyFont="1" applyBorder="1" applyProtection="1">
      <protection locked="0"/>
    </xf>
    <xf numFmtId="0" fontId="22" fillId="7" borderId="42" xfId="0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/>
    </xf>
    <xf numFmtId="0" fontId="9" fillId="0" borderId="0" xfId="0" applyFont="1" applyBorder="1" applyProtection="1">
      <protection locked="0"/>
    </xf>
    <xf numFmtId="0" fontId="32" fillId="7" borderId="42" xfId="0" applyFont="1" applyFill="1" applyBorder="1" applyAlignment="1" applyProtection="1">
      <alignment horizontal="center" vertical="center"/>
      <protection locked="0"/>
    </xf>
    <xf numFmtId="0" fontId="44" fillId="8" borderId="0" xfId="0" applyFont="1" applyFill="1"/>
    <xf numFmtId="0" fontId="1" fillId="0" borderId="0" xfId="0" applyFont="1" applyProtection="1"/>
    <xf numFmtId="0" fontId="38" fillId="0" borderId="3" xfId="0" applyFont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7" borderId="0" xfId="0" applyFill="1" applyProtection="1"/>
    <xf numFmtId="0" fontId="0" fillId="0" borderId="0" xfId="0" applyAlignment="1" applyProtection="1">
      <alignment horizontal="right"/>
    </xf>
    <xf numFmtId="0" fontId="53" fillId="0" borderId="0" xfId="0" applyFont="1"/>
    <xf numFmtId="0" fontId="54" fillId="0" borderId="0" xfId="0" applyFont="1" applyBorder="1" applyAlignment="1">
      <alignment vertical="center"/>
    </xf>
    <xf numFmtId="0" fontId="54" fillId="0" borderId="0" xfId="0" applyFont="1" applyFill="1" applyBorder="1" applyAlignment="1">
      <alignment vertical="center"/>
    </xf>
    <xf numFmtId="0" fontId="39" fillId="0" borderId="3" xfId="0" applyFont="1" applyBorder="1" applyAlignment="1" applyProtection="1">
      <protection locked="0"/>
    </xf>
    <xf numFmtId="0" fontId="56" fillId="5" borderId="0" xfId="0" applyFont="1" applyFill="1"/>
    <xf numFmtId="0" fontId="41" fillId="0" borderId="20" xfId="0" applyFont="1" applyBorder="1"/>
    <xf numFmtId="0" fontId="1" fillId="0" borderId="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8" fillId="0" borderId="25" xfId="0" applyFont="1" applyBorder="1" applyAlignment="1" applyProtection="1">
      <alignment horizontal="left"/>
      <protection locked="0"/>
    </xf>
    <xf numFmtId="0" fontId="55" fillId="0" borderId="20" xfId="0" applyFont="1" applyBorder="1" applyAlignment="1"/>
    <xf numFmtId="0" fontId="55" fillId="0" borderId="26" xfId="0" applyFont="1" applyBorder="1" applyAlignment="1"/>
    <xf numFmtId="0" fontId="55" fillId="0" borderId="20" xfId="0" applyFont="1" applyBorder="1" applyAlignment="1" applyProtection="1">
      <alignment horizontal="left"/>
      <protection locked="0"/>
    </xf>
    <xf numFmtId="0" fontId="55" fillId="0" borderId="26" xfId="0" applyFont="1" applyBorder="1" applyAlignment="1" applyProtection="1">
      <alignment horizontal="left"/>
      <protection locked="0"/>
    </xf>
    <xf numFmtId="0" fontId="55" fillId="0" borderId="20" xfId="0" applyFont="1" applyBorder="1" applyAlignment="1" applyProtection="1">
      <protection locked="0"/>
    </xf>
    <xf numFmtId="0" fontId="55" fillId="0" borderId="26" xfId="0" applyFont="1" applyBorder="1" applyAlignment="1" applyProtection="1">
      <protection locked="0"/>
    </xf>
    <xf numFmtId="0" fontId="39" fillId="0" borderId="0" xfId="0" applyFont="1" applyProtection="1"/>
    <xf numFmtId="0" fontId="0" fillId="0" borderId="6" xfId="0" applyBorder="1"/>
    <xf numFmtId="0" fontId="11" fillId="0" borderId="6" xfId="0" applyFont="1" applyBorder="1" applyAlignment="1">
      <alignment horizontal="centerContinuous"/>
    </xf>
    <xf numFmtId="0" fontId="34" fillId="0" borderId="6" xfId="0" applyFont="1" applyBorder="1" applyAlignment="1">
      <alignment horizontal="centerContinuous"/>
    </xf>
    <xf numFmtId="0" fontId="31" fillId="0" borderId="6" xfId="0" applyNumberFormat="1" applyFont="1" applyBorder="1" applyAlignment="1">
      <alignment horizontal="center"/>
    </xf>
    <xf numFmtId="0" fontId="31" fillId="0" borderId="6" xfId="0" applyFont="1" applyBorder="1" applyAlignment="1">
      <alignment horizontal="centerContinuous"/>
    </xf>
    <xf numFmtId="0" fontId="31" fillId="0" borderId="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1" fontId="11" fillId="2" borderId="22" xfId="0" applyNumberFormat="1" applyFont="1" applyFill="1" applyBorder="1" applyAlignment="1" applyProtection="1">
      <alignment horizontal="center" vertical="center"/>
      <protection locked="0"/>
    </xf>
    <xf numFmtId="1" fontId="11" fillId="2" borderId="23" xfId="0" applyNumberFormat="1" applyFont="1" applyFill="1" applyBorder="1" applyAlignment="1">
      <alignment horizontal="center" vertical="center"/>
    </xf>
    <xf numFmtId="1" fontId="11" fillId="0" borderId="22" xfId="0" applyNumberFormat="1" applyFont="1" applyFill="1" applyBorder="1" applyAlignment="1" applyProtection="1">
      <alignment horizontal="center" vertical="center"/>
      <protection locked="0"/>
    </xf>
    <xf numFmtId="1" fontId="11" fillId="0" borderId="23" xfId="0" applyNumberFormat="1" applyFont="1" applyFill="1" applyBorder="1" applyAlignment="1">
      <alignment horizontal="center" vertical="center"/>
    </xf>
    <xf numFmtId="1" fontId="11" fillId="0" borderId="23" xfId="0" applyNumberFormat="1" applyFont="1" applyFill="1" applyBorder="1" applyAlignment="1" applyProtection="1">
      <alignment horizontal="center" vertical="center"/>
      <protection locked="0"/>
    </xf>
    <xf numFmtId="1" fontId="11" fillId="0" borderId="24" xfId="0" applyNumberFormat="1" applyFont="1" applyFill="1" applyBorder="1" applyAlignment="1" applyProtection="1">
      <alignment horizontal="center" vertical="center"/>
      <protection locked="0"/>
    </xf>
    <xf numFmtId="1" fontId="34" fillId="0" borderId="22" xfId="0" applyNumberFormat="1" applyFont="1" applyFill="1" applyBorder="1" applyAlignment="1" applyProtection="1">
      <alignment horizontal="center" vertical="center"/>
      <protection locked="0"/>
    </xf>
    <xf numFmtId="1" fontId="34" fillId="0" borderId="23" xfId="0" applyNumberFormat="1" applyFont="1" applyFill="1" applyBorder="1" applyAlignment="1">
      <alignment horizontal="center" vertical="center"/>
    </xf>
    <xf numFmtId="1" fontId="34" fillId="0" borderId="23" xfId="0" applyNumberFormat="1" applyFont="1" applyFill="1" applyBorder="1" applyAlignment="1" applyProtection="1">
      <alignment horizontal="center" vertical="center"/>
      <protection locked="0"/>
    </xf>
    <xf numFmtId="1" fontId="34" fillId="0" borderId="24" xfId="0" applyNumberFormat="1" applyFont="1" applyFill="1" applyBorder="1" applyAlignment="1" applyProtection="1">
      <alignment horizontal="center" vertical="center"/>
      <protection locked="0"/>
    </xf>
    <xf numFmtId="1" fontId="2" fillId="0" borderId="24" xfId="0" applyNumberFormat="1" applyFont="1" applyFill="1" applyBorder="1" applyAlignment="1">
      <alignment horizontal="center" vertical="center"/>
    </xf>
    <xf numFmtId="0" fontId="11" fillId="0" borderId="23" xfId="0" applyNumberFormat="1" applyFont="1" applyBorder="1" applyAlignment="1">
      <alignment horizontal="right" vertical="center"/>
    </xf>
    <xf numFmtId="49" fontId="11" fillId="0" borderId="23" xfId="0" applyNumberFormat="1" applyFont="1" applyFill="1" applyBorder="1" applyAlignment="1">
      <alignment horizontal="center" vertical="center"/>
    </xf>
    <xf numFmtId="0" fontId="7" fillId="0" borderId="27" xfId="0" applyNumberFormat="1" applyFont="1" applyFill="1" applyBorder="1" applyAlignment="1" applyProtection="1">
      <alignment horizontal="center" vertical="center"/>
      <protection locked="0"/>
    </xf>
    <xf numFmtId="0" fontId="11" fillId="0" borderId="28" xfId="0" applyFont="1" applyBorder="1" applyAlignment="1">
      <alignment horizontal="center" vertical="center"/>
    </xf>
    <xf numFmtId="1" fontId="11" fillId="0" borderId="25" xfId="0" applyNumberFormat="1" applyFont="1" applyBorder="1" applyAlignment="1" applyProtection="1">
      <alignment horizontal="center" vertical="center"/>
    </xf>
    <xf numFmtId="1" fontId="11" fillId="0" borderId="20" xfId="0" applyNumberFormat="1" applyFont="1" applyBorder="1" applyAlignment="1" applyProtection="1">
      <alignment horizontal="center" vertical="center"/>
    </xf>
    <xf numFmtId="1" fontId="11" fillId="2" borderId="25" xfId="0" applyNumberFormat="1" applyFont="1" applyFill="1" applyBorder="1" applyAlignment="1" applyProtection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1" fontId="11" fillId="0" borderId="25" xfId="0" applyNumberFormat="1" applyFont="1" applyFill="1" applyBorder="1" applyAlignment="1" applyProtection="1">
      <alignment horizontal="center" vertical="center"/>
      <protection locked="0"/>
    </xf>
    <xf numFmtId="1" fontId="11" fillId="0" borderId="20" xfId="0" applyNumberFormat="1" applyFont="1" applyFill="1" applyBorder="1" applyAlignment="1">
      <alignment horizontal="center" vertical="center"/>
    </xf>
    <xf numFmtId="1" fontId="11" fillId="0" borderId="20" xfId="0" applyNumberFormat="1" applyFont="1" applyFill="1" applyBorder="1" applyAlignment="1" applyProtection="1">
      <alignment horizontal="center" vertical="center"/>
      <protection locked="0"/>
    </xf>
    <xf numFmtId="1" fontId="11" fillId="0" borderId="26" xfId="0" applyNumberFormat="1" applyFont="1" applyFill="1" applyBorder="1" applyAlignment="1" applyProtection="1">
      <alignment horizontal="center" vertical="center"/>
      <protection locked="0"/>
    </xf>
    <xf numFmtId="1" fontId="11" fillId="0" borderId="25" xfId="0" applyNumberFormat="1" applyFont="1" applyBorder="1" applyAlignment="1" applyProtection="1">
      <alignment horizontal="center" vertical="center"/>
      <protection locked="0"/>
    </xf>
    <xf numFmtId="1" fontId="11" fillId="0" borderId="20" xfId="0" applyNumberFormat="1" applyFont="1" applyBorder="1" applyAlignment="1">
      <alignment horizontal="center" vertical="center"/>
    </xf>
    <xf numFmtId="1" fontId="11" fillId="0" borderId="26" xfId="0" applyNumberFormat="1" applyFont="1" applyBorder="1" applyAlignment="1" applyProtection="1">
      <alignment horizontal="center" vertical="center"/>
      <protection locked="0"/>
    </xf>
    <xf numFmtId="1" fontId="34" fillId="0" borderId="25" xfId="0" applyNumberFormat="1" applyFont="1" applyBorder="1" applyAlignment="1" applyProtection="1">
      <alignment horizontal="center" vertical="center"/>
      <protection locked="0"/>
    </xf>
    <xf numFmtId="1" fontId="34" fillId="0" borderId="20" xfId="0" applyNumberFormat="1" applyFont="1" applyBorder="1" applyAlignment="1">
      <alignment horizontal="center" vertical="center"/>
    </xf>
    <xf numFmtId="1" fontId="34" fillId="0" borderId="20" xfId="0" applyNumberFormat="1" applyFont="1" applyBorder="1" applyAlignment="1" applyProtection="1">
      <alignment horizontal="center" vertical="center"/>
      <protection locked="0"/>
    </xf>
    <xf numFmtId="1" fontId="34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Fill="1" applyBorder="1" applyAlignment="1">
      <alignment horizontal="center" vertical="center"/>
    </xf>
    <xf numFmtId="0" fontId="11" fillId="0" borderId="20" xfId="0" applyNumberFormat="1" applyFont="1" applyBorder="1" applyAlignment="1">
      <alignment horizontal="right" vertical="center"/>
    </xf>
    <xf numFmtId="49" fontId="11" fillId="0" borderId="20" xfId="0" applyNumberFormat="1" applyFont="1" applyBorder="1" applyAlignment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  <protection locked="0"/>
    </xf>
    <xf numFmtId="1" fontId="11" fillId="2" borderId="25" xfId="0" applyNumberFormat="1" applyFont="1" applyFill="1" applyBorder="1" applyAlignment="1">
      <alignment horizontal="center" vertical="center"/>
    </xf>
    <xf numFmtId="1" fontId="11" fillId="0" borderId="20" xfId="0" applyNumberFormat="1" applyFont="1" applyBorder="1" applyAlignment="1" applyProtection="1">
      <alignment horizontal="center" vertical="center"/>
      <protection locked="0"/>
    </xf>
    <xf numFmtId="1" fontId="34" fillId="0" borderId="25" xfId="0" applyNumberFormat="1" applyFont="1" applyFill="1" applyBorder="1" applyAlignment="1" applyProtection="1">
      <alignment horizontal="center" vertical="center"/>
      <protection locked="0"/>
    </xf>
    <xf numFmtId="1" fontId="34" fillId="0" borderId="26" xfId="0" applyNumberFormat="1" applyFont="1" applyFill="1" applyBorder="1" applyAlignment="1" applyProtection="1">
      <alignment horizontal="center" vertical="center"/>
      <protection locked="0"/>
    </xf>
    <xf numFmtId="1" fontId="10" fillId="2" borderId="25" xfId="0" applyNumberFormat="1" applyFont="1" applyFill="1" applyBorder="1" applyAlignment="1">
      <alignment horizontal="center" vertical="center"/>
    </xf>
    <xf numFmtId="1" fontId="10" fillId="2" borderId="20" xfId="0" applyNumberFormat="1" applyFont="1" applyFill="1" applyBorder="1" applyAlignment="1">
      <alignment horizontal="center" vertical="center"/>
    </xf>
    <xf numFmtId="0" fontId="57" fillId="0" borderId="3" xfId="0" applyFont="1" applyBorder="1"/>
    <xf numFmtId="0" fontId="58" fillId="0" borderId="3" xfId="0" applyFont="1" applyBorder="1" applyProtection="1">
      <protection locked="0"/>
    </xf>
    <xf numFmtId="0" fontId="57" fillId="0" borderId="20" xfId="0" applyFont="1" applyBorder="1"/>
    <xf numFmtId="0" fontId="58" fillId="0" borderId="20" xfId="0" applyFont="1" applyBorder="1" applyProtection="1">
      <protection locked="0"/>
    </xf>
    <xf numFmtId="0" fontId="59" fillId="0" borderId="6" xfId="0" applyFont="1" applyFill="1" applyBorder="1" applyAlignment="1">
      <alignment horizontal="left"/>
    </xf>
    <xf numFmtId="0" fontId="39" fillId="0" borderId="4" xfId="0" applyFont="1" applyFill="1" applyBorder="1" applyAlignment="1">
      <alignment horizontal="left"/>
    </xf>
    <xf numFmtId="0" fontId="39" fillId="0" borderId="5" xfId="0" applyFont="1" applyFill="1" applyBorder="1" applyAlignment="1">
      <alignment horizontal="left"/>
    </xf>
    <xf numFmtId="0" fontId="39" fillId="0" borderId="7" xfId="0" applyFont="1" applyFill="1" applyBorder="1" applyAlignment="1">
      <alignment horizontal="left"/>
    </xf>
    <xf numFmtId="1" fontId="59" fillId="0" borderId="6" xfId="0" applyNumberFormat="1" applyFont="1" applyFill="1" applyBorder="1" applyAlignment="1">
      <alignment horizontal="center"/>
    </xf>
    <xf numFmtId="0" fontId="59" fillId="0" borderId="5" xfId="0" applyNumberFormat="1" applyFont="1" applyFill="1" applyBorder="1" applyAlignment="1">
      <alignment horizontal="center"/>
    </xf>
    <xf numFmtId="0" fontId="39" fillId="0" borderId="6" xfId="0" applyNumberFormat="1" applyFont="1" applyFill="1" applyBorder="1" applyAlignment="1" applyProtection="1">
      <alignment horizontal="center"/>
      <protection locked="0"/>
    </xf>
    <xf numFmtId="0" fontId="59" fillId="0" borderId="6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9" fillId="0" borderId="7" xfId="0" applyFont="1" applyBorder="1" applyAlignment="1">
      <alignment horizontal="left"/>
    </xf>
    <xf numFmtId="1" fontId="52" fillId="0" borderId="17" xfId="0" applyNumberFormat="1" applyFont="1" applyBorder="1" applyAlignment="1">
      <alignment horizontal="center" vertical="center"/>
    </xf>
    <xf numFmtId="49" fontId="52" fillId="0" borderId="5" xfId="0" applyNumberFormat="1" applyFont="1" applyBorder="1" applyAlignment="1">
      <alignment horizontal="center" vertical="center"/>
    </xf>
    <xf numFmtId="1" fontId="52" fillId="0" borderId="7" xfId="0" applyNumberFormat="1" applyFont="1" applyBorder="1" applyAlignment="1">
      <alignment horizontal="center" vertical="center"/>
    </xf>
    <xf numFmtId="1" fontId="52" fillId="0" borderId="4" xfId="0" applyNumberFormat="1" applyFont="1" applyFill="1" applyBorder="1" applyAlignment="1">
      <alignment horizontal="center" vertical="center"/>
    </xf>
    <xf numFmtId="49" fontId="52" fillId="0" borderId="5" xfId="0" applyNumberFormat="1" applyFont="1" applyFill="1" applyBorder="1" applyAlignment="1">
      <alignment horizontal="center" vertical="center"/>
    </xf>
    <xf numFmtId="1" fontId="52" fillId="0" borderId="7" xfId="0" applyNumberFormat="1" applyFont="1" applyFill="1" applyBorder="1" applyAlignment="1">
      <alignment horizontal="center" vertical="center"/>
    </xf>
    <xf numFmtId="1" fontId="52" fillId="0" borderId="4" xfId="0" applyNumberFormat="1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11" borderId="0" xfId="0" applyFill="1"/>
    <xf numFmtId="0" fontId="1" fillId="11" borderId="0" xfId="0" applyNumberFormat="1" applyFont="1" applyFill="1" applyBorder="1" applyAlignment="1">
      <alignment horizontal="left"/>
    </xf>
    <xf numFmtId="0" fontId="1" fillId="11" borderId="0" xfId="0" quotePrefix="1" applyNumberFormat="1" applyFont="1" applyFill="1" applyBorder="1" applyAlignment="1">
      <alignment horizontal="left"/>
    </xf>
    <xf numFmtId="0" fontId="62" fillId="0" borderId="3" xfId="0" applyFont="1" applyBorder="1" applyAlignment="1" applyProtection="1">
      <alignment horizontal="left"/>
      <protection locked="0"/>
    </xf>
    <xf numFmtId="0" fontId="52" fillId="0" borderId="20" xfId="0" applyFont="1" applyBorder="1" applyAlignment="1" applyProtection="1">
      <alignment horizontal="center"/>
      <protection locked="0"/>
    </xf>
    <xf numFmtId="0" fontId="60" fillId="0" borderId="20" xfId="0" applyFont="1" applyBorder="1" applyAlignment="1" applyProtection="1">
      <protection locked="0"/>
    </xf>
    <xf numFmtId="0" fontId="60" fillId="0" borderId="26" xfId="0" applyFont="1" applyBorder="1" applyAlignment="1" applyProtection="1">
      <protection locked="0"/>
    </xf>
    <xf numFmtId="0" fontId="63" fillId="0" borderId="20" xfId="0" applyFont="1" applyBorder="1" applyAlignment="1" applyProtection="1">
      <protection locked="0"/>
    </xf>
    <xf numFmtId="0" fontId="63" fillId="0" borderId="26" xfId="0" applyFont="1" applyBorder="1" applyAlignment="1" applyProtection="1">
      <protection locked="0"/>
    </xf>
    <xf numFmtId="0" fontId="63" fillId="0" borderId="20" xfId="0" applyFont="1" applyBorder="1" applyAlignment="1" applyProtection="1">
      <alignment horizontal="left"/>
      <protection locked="0"/>
    </xf>
    <xf numFmtId="0" fontId="63" fillId="0" borderId="26" xfId="0" applyFont="1" applyBorder="1" applyAlignment="1" applyProtection="1">
      <alignment horizontal="left"/>
      <protection locked="0"/>
    </xf>
    <xf numFmtId="0" fontId="38" fillId="0" borderId="43" xfId="0" applyFont="1" applyBorder="1" applyAlignment="1" applyProtection="1">
      <alignment horizontal="left"/>
      <protection locked="0"/>
    </xf>
    <xf numFmtId="0" fontId="55" fillId="0" borderId="3" xfId="0" applyFont="1" applyBorder="1" applyAlignment="1"/>
    <xf numFmtId="0" fontId="55" fillId="0" borderId="44" xfId="0" applyFont="1" applyBorder="1" applyAlignment="1"/>
    <xf numFmtId="0" fontId="65" fillId="0" borderId="20" xfId="0" applyFont="1" applyBorder="1" applyAlignment="1"/>
    <xf numFmtId="0" fontId="65" fillId="0" borderId="26" xfId="0" applyFont="1" applyBorder="1" applyAlignment="1"/>
    <xf numFmtId="0" fontId="52" fillId="0" borderId="20" xfId="0" applyFont="1" applyBorder="1" applyAlignment="1" applyProtection="1">
      <alignment horizontal="left"/>
      <protection locked="0"/>
    </xf>
    <xf numFmtId="0" fontId="66" fillId="0" borderId="20" xfId="0" applyFont="1" applyBorder="1" applyAlignment="1" applyProtection="1">
      <alignment horizontal="left"/>
      <protection locked="0"/>
    </xf>
    <xf numFmtId="0" fontId="66" fillId="0" borderId="20" xfId="0" applyFont="1" applyBorder="1" applyAlignment="1" applyProtection="1">
      <protection locked="0"/>
    </xf>
    <xf numFmtId="0" fontId="52" fillId="0" borderId="20" xfId="0" applyFont="1" applyBorder="1" applyAlignment="1" applyProtection="1">
      <protection locked="0"/>
    </xf>
    <xf numFmtId="0" fontId="38" fillId="0" borderId="22" xfId="0" applyFont="1" applyBorder="1" applyAlignment="1" applyProtection="1">
      <alignment horizontal="left" vertical="center"/>
      <protection locked="0"/>
    </xf>
    <xf numFmtId="0" fontId="38" fillId="0" borderId="25" xfId="0" applyFont="1" applyBorder="1" applyAlignment="1" applyProtection="1">
      <alignment horizontal="left" vertical="center"/>
      <protection locked="0"/>
    </xf>
    <xf numFmtId="0" fontId="69" fillId="0" borderId="25" xfId="0" applyFont="1" applyBorder="1" applyAlignment="1" applyProtection="1">
      <protection locked="0"/>
    </xf>
    <xf numFmtId="0" fontId="60" fillId="0" borderId="25" xfId="0" applyFont="1" applyBorder="1" applyAlignment="1" applyProtection="1">
      <alignment horizontal="left"/>
      <protection locked="0"/>
    </xf>
    <xf numFmtId="0" fontId="69" fillId="0" borderId="25" xfId="0" applyFont="1" applyBorder="1" applyAlignment="1" applyProtection="1">
      <alignment horizontal="left"/>
      <protection locked="0"/>
    </xf>
    <xf numFmtId="0" fontId="60" fillId="0" borderId="25" xfId="0" applyFont="1" applyBorder="1" applyAlignment="1" applyProtection="1">
      <protection locked="0"/>
    </xf>
    <xf numFmtId="0" fontId="41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0" xfId="0" applyAlignment="1">
      <alignment vertical="center"/>
    </xf>
    <xf numFmtId="0" fontId="52" fillId="0" borderId="3" xfId="0" applyFont="1" applyBorder="1" applyProtection="1">
      <protection locked="0"/>
    </xf>
    <xf numFmtId="0" fontId="41" fillId="0" borderId="0" xfId="0" applyFont="1" applyBorder="1" applyAlignment="1"/>
    <xf numFmtId="0" fontId="48" fillId="3" borderId="2" xfId="0" applyFont="1" applyFill="1" applyBorder="1" applyAlignment="1">
      <alignment horizontal="center" vertical="center"/>
    </xf>
    <xf numFmtId="0" fontId="38" fillId="0" borderId="3" xfId="0" applyFont="1" applyBorder="1" applyAlignment="1" applyProtection="1">
      <protection locked="0"/>
    </xf>
    <xf numFmtId="0" fontId="0" fillId="12" borderId="0" xfId="0" applyFill="1" applyAlignment="1">
      <alignment horizontal="right" wrapText="1"/>
    </xf>
    <xf numFmtId="0" fontId="1" fillId="1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0" fillId="3" borderId="0" xfId="0" applyFont="1" applyFill="1" applyBorder="1"/>
    <xf numFmtId="0" fontId="0" fillId="3" borderId="0" xfId="0" applyFont="1" applyFill="1"/>
    <xf numFmtId="0" fontId="0" fillId="0" borderId="20" xfId="0" applyFont="1" applyBorder="1" applyAlignment="1"/>
    <xf numFmtId="0" fontId="0" fillId="0" borderId="26" xfId="0" applyFont="1" applyBorder="1" applyAlignment="1"/>
    <xf numFmtId="0" fontId="38" fillId="0" borderId="3" xfId="0" applyFont="1" applyBorder="1" applyAlignment="1" applyProtection="1">
      <protection locked="0"/>
    </xf>
    <xf numFmtId="0" fontId="60" fillId="0" borderId="3" xfId="0" applyFont="1" applyBorder="1" applyProtection="1">
      <protection locked="0"/>
    </xf>
    <xf numFmtId="0" fontId="74" fillId="0" borderId="6" xfId="0" applyFont="1" applyBorder="1" applyAlignment="1">
      <alignment horizontal="left" vertical="center" wrapText="1"/>
    </xf>
    <xf numFmtId="0" fontId="38" fillId="0" borderId="3" xfId="0" applyFont="1" applyBorder="1" applyAlignment="1" applyProtection="1">
      <protection locked="0"/>
    </xf>
    <xf numFmtId="0" fontId="0" fillId="3" borderId="0" xfId="0" applyFill="1"/>
    <xf numFmtId="0" fontId="55" fillId="0" borderId="25" xfId="0" applyFont="1" applyBorder="1" applyAlignment="1" applyProtection="1">
      <alignment horizontal="left"/>
      <protection locked="0"/>
    </xf>
    <xf numFmtId="0" fontId="55" fillId="0" borderId="25" xfId="0" applyFont="1" applyBorder="1" applyAlignment="1" applyProtection="1">
      <protection locked="0"/>
    </xf>
    <xf numFmtId="0" fontId="60" fillId="0" borderId="43" xfId="0" applyFont="1" applyBorder="1" applyAlignment="1" applyProtection="1">
      <protection locked="0"/>
    </xf>
    <xf numFmtId="0" fontId="75" fillId="0" borderId="29" xfId="0" applyFont="1" applyBorder="1" applyProtection="1">
      <protection locked="0"/>
    </xf>
    <xf numFmtId="0" fontId="60" fillId="0" borderId="25" xfId="0" applyFont="1" applyBorder="1" applyProtection="1">
      <protection locked="0"/>
    </xf>
    <xf numFmtId="0" fontId="55" fillId="0" borderId="20" xfId="0" applyFont="1" applyBorder="1" applyProtection="1">
      <protection locked="0"/>
    </xf>
    <xf numFmtId="0" fontId="55" fillId="0" borderId="26" xfId="0" applyFont="1" applyBorder="1" applyProtection="1">
      <protection locked="0"/>
    </xf>
    <xf numFmtId="0" fontId="69" fillId="0" borderId="25" xfId="0" applyFont="1" applyBorder="1" applyProtection="1">
      <protection locked="0"/>
    </xf>
    <xf numFmtId="0" fontId="64" fillId="0" borderId="20" xfId="0" applyFont="1" applyBorder="1"/>
    <xf numFmtId="0" fontId="65" fillId="0" borderId="20" xfId="0" applyFont="1" applyBorder="1"/>
    <xf numFmtId="0" fontId="65" fillId="0" borderId="26" xfId="0" applyFont="1" applyBorder="1"/>
    <xf numFmtId="0" fontId="22" fillId="0" borderId="8" xfId="0" applyFont="1" applyBorder="1" applyAlignment="1">
      <alignment horizontal="left" vertical="center" indent="1"/>
    </xf>
    <xf numFmtId="0" fontId="0" fillId="0" borderId="2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5" fillId="0" borderId="0" xfId="0" applyFont="1" applyBorder="1" applyAlignment="1">
      <alignment horizontal="center"/>
    </xf>
    <xf numFmtId="0" fontId="59" fillId="0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2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15" fillId="0" borderId="29" xfId="0" applyFont="1" applyBorder="1" applyAlignment="1">
      <alignment horizontal="center"/>
    </xf>
    <xf numFmtId="0" fontId="5" fillId="0" borderId="4" xfId="0" applyFont="1" applyBorder="1" applyAlignment="1"/>
    <xf numFmtId="0" fontId="19" fillId="0" borderId="5" xfId="0" applyFont="1" applyBorder="1" applyAlignment="1"/>
    <xf numFmtId="0" fontId="19" fillId="0" borderId="7" xfId="0" applyFont="1" applyBorder="1" applyAlignment="1"/>
    <xf numFmtId="0" fontId="68" fillId="0" borderId="25" xfId="0" applyFont="1" applyBorder="1" applyAlignment="1" applyProtection="1">
      <alignment horizontal="center"/>
      <protection locked="0"/>
    </xf>
    <xf numFmtId="0" fontId="68" fillId="0" borderId="20" xfId="0" applyFont="1" applyBorder="1" applyAlignment="1" applyProtection="1">
      <alignment horizontal="center"/>
      <protection locked="0"/>
    </xf>
    <xf numFmtId="0" fontId="68" fillId="0" borderId="26" xfId="0" applyFont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7" fillId="0" borderId="25" xfId="0" applyFont="1" applyBorder="1" applyAlignment="1" applyProtection="1">
      <alignment horizontal="center"/>
      <protection locked="0"/>
    </xf>
    <xf numFmtId="0" fontId="67" fillId="0" borderId="20" xfId="0" applyFont="1" applyBorder="1" applyAlignment="1" applyProtection="1">
      <alignment horizontal="center"/>
      <protection locked="0"/>
    </xf>
    <xf numFmtId="0" fontId="67" fillId="0" borderId="26" xfId="0" applyFont="1" applyBorder="1" applyAlignment="1" applyProtection="1">
      <alignment horizontal="center"/>
      <protection locked="0"/>
    </xf>
    <xf numFmtId="0" fontId="68" fillId="0" borderId="25" xfId="0" applyFont="1" applyFill="1" applyBorder="1" applyAlignment="1" applyProtection="1">
      <alignment horizontal="center"/>
      <protection locked="0"/>
    </xf>
    <xf numFmtId="0" fontId="68" fillId="0" borderId="20" xfId="0" applyFont="1" applyFill="1" applyBorder="1" applyAlignment="1" applyProtection="1">
      <alignment horizontal="center"/>
      <protection locked="0"/>
    </xf>
    <xf numFmtId="0" fontId="68" fillId="0" borderId="26" xfId="0" applyFont="1" applyFill="1" applyBorder="1" applyAlignment="1" applyProtection="1">
      <alignment horizontal="center"/>
      <protection locked="0"/>
    </xf>
    <xf numFmtId="0" fontId="61" fillId="0" borderId="3" xfId="0" applyFont="1" applyBorder="1" applyAlignment="1" applyProtection="1">
      <alignment horizontal="left"/>
      <protection locked="0"/>
    </xf>
    <xf numFmtId="0" fontId="72" fillId="0" borderId="25" xfId="0" applyFont="1" applyBorder="1" applyAlignment="1" applyProtection="1">
      <alignment horizontal="center"/>
      <protection locked="0"/>
    </xf>
    <xf numFmtId="0" fontId="73" fillId="0" borderId="26" xfId="0" applyFont="1" applyBorder="1" applyAlignment="1" applyProtection="1">
      <alignment horizontal="center"/>
      <protection locked="0"/>
    </xf>
    <xf numFmtId="14" fontId="40" fillId="0" borderId="3" xfId="0" applyNumberFormat="1" applyFont="1" applyFill="1" applyBorder="1" applyAlignment="1" applyProtection="1">
      <alignment horizontal="center"/>
      <protection locked="0"/>
    </xf>
    <xf numFmtId="0" fontId="52" fillId="0" borderId="3" xfId="0" applyFont="1" applyBorder="1" applyAlignment="1" applyProtection="1">
      <protection locked="0"/>
    </xf>
    <xf numFmtId="0" fontId="41" fillId="0" borderId="3" xfId="0" applyFont="1" applyBorder="1" applyAlignment="1"/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52" fillId="0" borderId="3" xfId="0" applyFont="1" applyBorder="1" applyAlignment="1" applyProtection="1">
      <alignment horizontal="left"/>
      <protection locked="0"/>
    </xf>
    <xf numFmtId="0" fontId="38" fillId="0" borderId="3" xfId="0" applyFont="1" applyBorder="1" applyAlignment="1" applyProtection="1">
      <alignment horizontal="left"/>
      <protection locked="0"/>
    </xf>
    <xf numFmtId="0" fontId="39" fillId="0" borderId="3" xfId="0" applyFont="1" applyBorder="1" applyAlignment="1">
      <alignment horizontal="left"/>
    </xf>
    <xf numFmtId="0" fontId="38" fillId="0" borderId="3" xfId="0" applyFont="1" applyBorder="1" applyAlignment="1" applyProtection="1">
      <protection locked="0"/>
    </xf>
    <xf numFmtId="0" fontId="39" fillId="0" borderId="3" xfId="0" applyFont="1" applyBorder="1" applyAlignment="1"/>
    <xf numFmtId="0" fontId="0" fillId="0" borderId="37" xfId="0" applyBorder="1" applyAlignment="1">
      <alignment horizontal="center"/>
    </xf>
    <xf numFmtId="0" fontId="0" fillId="0" borderId="37" xfId="0" applyBorder="1" applyAlignment="1">
      <alignment vertical="center"/>
    </xf>
    <xf numFmtId="0" fontId="26" fillId="10" borderId="8" xfId="0" applyFont="1" applyFill="1" applyBorder="1" applyAlignment="1">
      <alignment horizontal="left" vertical="top" wrapText="1"/>
    </xf>
    <xf numFmtId="0" fontId="0" fillId="10" borderId="2" xfId="0" applyFill="1" applyBorder="1" applyAlignment="1">
      <alignment horizontal="left" vertical="top" wrapText="1"/>
    </xf>
    <xf numFmtId="0" fontId="0" fillId="10" borderId="1" xfId="0" applyFill="1" applyBorder="1" applyAlignment="1">
      <alignment horizontal="left" vertical="top" wrapText="1"/>
    </xf>
    <xf numFmtId="0" fontId="17" fillId="10" borderId="8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19" fillId="0" borderId="29" xfId="0" applyFont="1" applyBorder="1" applyAlignment="1"/>
    <xf numFmtId="0" fontId="1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49" fontId="1" fillId="0" borderId="34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</cellXfs>
  <cellStyles count="1">
    <cellStyle name="Normální" xfId="0" builtinId="0"/>
  </cellStyles>
  <dxfs count="1"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206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1289050</xdr:colOff>
      <xdr:row>54</xdr:row>
      <xdr:rowOff>215900</xdr:rowOff>
    </xdr:from>
    <xdr:to>
      <xdr:col>35</xdr:col>
      <xdr:colOff>2705100</xdr:colOff>
      <xdr:row>56</xdr:row>
      <xdr:rowOff>0</xdr:rowOff>
    </xdr:to>
    <xdr:pic>
      <xdr:nvPicPr>
        <xdr:cNvPr id="4972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8650" y="12331700"/>
          <a:ext cx="14160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261055</xdr:colOff>
      <xdr:row>1</xdr:row>
      <xdr:rowOff>28222</xdr:rowOff>
    </xdr:from>
    <xdr:to>
      <xdr:col>33</xdr:col>
      <xdr:colOff>317767</xdr:colOff>
      <xdr:row>1</xdr:row>
      <xdr:rowOff>388222</xdr:rowOff>
    </xdr:to>
    <xdr:pic>
      <xdr:nvPicPr>
        <xdr:cNvPr id="4" name="Picture 2" descr="D:\DOKUMENTY-VILD\KOLOVÁ - Lokomotiva\Loga\Logo kolová.bmp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333" y="141111"/>
          <a:ext cx="35304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203200</xdr:colOff>
      <xdr:row>61</xdr:row>
      <xdr:rowOff>84666</xdr:rowOff>
    </xdr:from>
    <xdr:to>
      <xdr:col>33</xdr:col>
      <xdr:colOff>220133</xdr:colOff>
      <xdr:row>66</xdr:row>
      <xdr:rowOff>66645</xdr:rowOff>
    </xdr:to>
    <xdr:pic>
      <xdr:nvPicPr>
        <xdr:cNvPr id="18" name="Obrázek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200" y="13707533"/>
          <a:ext cx="6824133" cy="828645"/>
        </a:xfrm>
        <a:prstGeom prst="rect">
          <a:avLst/>
        </a:prstGeom>
      </xdr:spPr>
    </xdr:pic>
    <xdr:clientData/>
  </xdr:twoCellAnchor>
  <xdr:twoCellAnchor editAs="oneCell">
    <xdr:from>
      <xdr:col>28</xdr:col>
      <xdr:colOff>33867</xdr:colOff>
      <xdr:row>2</xdr:row>
      <xdr:rowOff>59266</xdr:rowOff>
    </xdr:from>
    <xdr:to>
      <xdr:col>33</xdr:col>
      <xdr:colOff>327123</xdr:colOff>
      <xdr:row>9</xdr:row>
      <xdr:rowOff>89733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89600" y="575733"/>
          <a:ext cx="1444723" cy="159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0</xdr:rowOff>
    </xdr:from>
    <xdr:to>
      <xdr:col>13</xdr:col>
      <xdr:colOff>66676</xdr:colOff>
      <xdr:row>0</xdr:row>
      <xdr:rowOff>694713</xdr:rowOff>
    </xdr:to>
    <xdr:pic>
      <xdr:nvPicPr>
        <xdr:cNvPr id="9" name="Obráze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6" y="0"/>
          <a:ext cx="6972300" cy="694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2"/>
  <sheetViews>
    <sheetView showGridLines="0" tabSelected="1" zoomScale="90" zoomScaleNormal="90" workbookViewId="0">
      <selection activeCell="AJ23" sqref="AJ23"/>
    </sheetView>
  </sheetViews>
  <sheetFormatPr defaultRowHeight="13.2"/>
  <cols>
    <col min="1" max="1" width="4.21875" customWidth="1"/>
    <col min="2" max="2" width="21.21875" customWidth="1"/>
    <col min="3" max="3" width="3" customWidth="1"/>
    <col min="4" max="4" width="0.77734375" customWidth="1"/>
    <col min="5" max="6" width="3" customWidth="1"/>
    <col min="7" max="7" width="0.77734375" customWidth="1"/>
    <col min="8" max="9" width="3" customWidth="1"/>
    <col min="10" max="10" width="0.77734375" customWidth="1"/>
    <col min="11" max="12" width="3" customWidth="1"/>
    <col min="13" max="13" width="0.77734375" customWidth="1"/>
    <col min="14" max="15" width="3" customWidth="1"/>
    <col min="16" max="16" width="0.77734375" customWidth="1"/>
    <col min="17" max="18" width="3" customWidth="1"/>
    <col min="19" max="19" width="0.77734375" customWidth="1"/>
    <col min="20" max="21" width="3" customWidth="1"/>
    <col min="22" max="22" width="0.77734375" customWidth="1"/>
    <col min="23" max="24" width="3" customWidth="1"/>
    <col min="25" max="25" width="0.77734375" customWidth="1"/>
    <col min="26" max="27" width="3" customWidth="1"/>
    <col min="28" max="28" width="0.77734375" customWidth="1"/>
    <col min="29" max="29" width="3" customWidth="1"/>
    <col min="30" max="30" width="5" customWidth="1"/>
    <col min="31" max="31" width="3.77734375" style="2" customWidth="1"/>
    <col min="32" max="32" width="0.77734375" customWidth="1"/>
    <col min="33" max="33" width="4.21875" style="2" customWidth="1"/>
    <col min="34" max="34" width="6.44140625" customWidth="1"/>
    <col min="35" max="35" width="10.77734375" customWidth="1"/>
    <col min="36" max="36" width="47.77734375" customWidth="1"/>
    <col min="37" max="37" width="7.77734375" hidden="1" customWidth="1"/>
    <col min="38" max="43" width="10.77734375" hidden="1" customWidth="1"/>
    <col min="44" max="44" width="14.21875" hidden="1" customWidth="1"/>
    <col min="45" max="45" width="7.77734375" hidden="1" customWidth="1"/>
    <col min="46" max="46" width="13.77734375" hidden="1" customWidth="1"/>
    <col min="47" max="47" width="13" hidden="1" customWidth="1"/>
    <col min="48" max="48" width="11.21875" hidden="1" customWidth="1"/>
    <col min="49" max="49" width="9.21875" hidden="1" customWidth="1"/>
    <col min="50" max="52" width="9.21875" customWidth="1"/>
    <col min="53" max="54" width="8.77734375" customWidth="1"/>
  </cols>
  <sheetData>
    <row r="1" spans="1:52" ht="9" customHeight="1" thickBot="1">
      <c r="AE1"/>
      <c r="AG1"/>
      <c r="AT1" s="37" t="s">
        <v>30</v>
      </c>
      <c r="AU1" s="37" t="s">
        <v>32</v>
      </c>
      <c r="AV1" s="37" t="s">
        <v>31</v>
      </c>
    </row>
    <row r="2" spans="1:52" ht="31.5" customHeight="1" thickBot="1">
      <c r="A2" s="25" t="str">
        <f>INDEX(AT5:AV5,$AJ$4)</f>
        <v xml:space="preserve">PROTOKOL - ČESKÝ SVAZ CYKLISTIKY  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"/>
      <c r="AJ2" s="48" t="str">
        <f>INDEX(AT4:AV4,$AJ$4)</f>
        <v>MIMO OBLAST TISKU</v>
      </c>
      <c r="AL2" s="48"/>
      <c r="AM2" s="48"/>
      <c r="AN2" s="48"/>
      <c r="AO2" s="48"/>
      <c r="AP2" s="48"/>
      <c r="AQ2" s="48"/>
      <c r="AR2" s="49"/>
      <c r="AS2" s="44"/>
      <c r="AT2" s="44"/>
      <c r="AU2" s="44"/>
      <c r="AV2" s="44"/>
    </row>
    <row r="3" spans="1:52" ht="10.5" customHeight="1" thickBot="1">
      <c r="A3" s="5"/>
      <c r="B3" s="5"/>
      <c r="C3" s="5"/>
      <c r="D3" s="5"/>
      <c r="E3" s="5"/>
      <c r="F3" s="5"/>
      <c r="G3" s="5"/>
      <c r="H3" s="5"/>
      <c r="AE3"/>
      <c r="AG3"/>
      <c r="AJ3" s="43" t="str">
        <f>INDEX(AT3:AV3,$AJ$4)</f>
        <v>Prosím pro jazyk zadejte číslo</v>
      </c>
      <c r="AM3" s="211" t="s">
        <v>181</v>
      </c>
      <c r="AN3" s="123">
        <v>5</v>
      </c>
      <c r="AS3" s="44"/>
      <c r="AT3" s="60" t="s">
        <v>172</v>
      </c>
      <c r="AU3" s="63" t="s">
        <v>173</v>
      </c>
      <c r="AV3" s="61" t="s">
        <v>174</v>
      </c>
      <c r="AW3" s="61"/>
      <c r="AX3" s="61"/>
      <c r="AY3" s="62"/>
      <c r="AZ3" s="62"/>
    </row>
    <row r="4" spans="1:52" ht="20.100000000000001" customHeight="1" thickTop="1" thickBot="1">
      <c r="A4" s="5"/>
      <c r="B4" s="6" t="str">
        <f>INDEX(AT6:AV6,$AJ$4)</f>
        <v>o soutěži v kolové:</v>
      </c>
      <c r="C4" s="293" t="s">
        <v>232</v>
      </c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39"/>
      <c r="AC4" s="243"/>
      <c r="AD4" s="243"/>
      <c r="AE4" s="243"/>
      <c r="AF4" s="243"/>
      <c r="AG4" s="243"/>
      <c r="AH4" s="243"/>
      <c r="AJ4" s="116">
        <v>1</v>
      </c>
      <c r="AN4" s="123">
        <v>6</v>
      </c>
      <c r="AS4" s="44"/>
      <c r="AT4" s="51" t="s">
        <v>28</v>
      </c>
      <c r="AU4" s="51" t="s">
        <v>120</v>
      </c>
      <c r="AV4" s="51" t="s">
        <v>121</v>
      </c>
      <c r="AW4" s="51"/>
      <c r="AX4" s="51"/>
    </row>
    <row r="5" spans="1:52" ht="20.100000000000001" customHeight="1" thickTop="1">
      <c r="A5" s="5"/>
      <c r="B5" s="6" t="str">
        <f>INDEX(AT7:AV7,$AJ$4)</f>
        <v>konané dne:</v>
      </c>
      <c r="C5" s="296">
        <v>45760</v>
      </c>
      <c r="D5" s="296"/>
      <c r="E5" s="296"/>
      <c r="F5" s="296"/>
      <c r="G5" s="296"/>
      <c r="H5" s="296"/>
      <c r="I5" s="296"/>
      <c r="J5" s="296"/>
      <c r="K5" s="296"/>
      <c r="L5" s="57"/>
      <c r="M5" s="14"/>
      <c r="N5" s="118"/>
      <c r="O5" s="8" t="str">
        <f>INDEX(AT8:AV8,$AJ$4)</f>
        <v>v</v>
      </c>
      <c r="P5" s="118"/>
      <c r="Q5" s="297" t="s">
        <v>233</v>
      </c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8"/>
      <c r="AE5"/>
      <c r="AG5"/>
      <c r="AJ5" s="117" t="s">
        <v>162</v>
      </c>
      <c r="AN5" s="123">
        <v>7</v>
      </c>
      <c r="AS5" s="44"/>
      <c r="AT5" s="52" t="s">
        <v>20</v>
      </c>
      <c r="AU5" s="52" t="s">
        <v>69</v>
      </c>
      <c r="AV5" s="52" t="s">
        <v>72</v>
      </c>
      <c r="AW5" s="52"/>
      <c r="AX5" s="51"/>
    </row>
    <row r="6" spans="1:52" ht="20.100000000000001" customHeight="1">
      <c r="A6" s="5"/>
      <c r="B6" s="6" t="str">
        <f>INDEX(AT9:AV9,$AJ$4)</f>
        <v>tělovýchovným spolkem - klubem:</v>
      </c>
      <c r="C6" s="5"/>
      <c r="D6" s="5"/>
      <c r="E6" s="113"/>
      <c r="F6" s="114"/>
      <c r="G6" s="115"/>
      <c r="H6" s="115"/>
      <c r="I6" s="7"/>
      <c r="J6" s="7"/>
      <c r="K6" s="301" t="s">
        <v>188</v>
      </c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216"/>
      <c r="AC6" s="216"/>
      <c r="AE6"/>
      <c r="AG6"/>
      <c r="AJ6" s="117" t="s">
        <v>163</v>
      </c>
      <c r="AM6" s="212" t="s">
        <v>182</v>
      </c>
      <c r="AN6" s="123"/>
      <c r="AS6" s="44"/>
      <c r="AT6" s="52" t="s">
        <v>70</v>
      </c>
      <c r="AU6" s="52" t="s">
        <v>39</v>
      </c>
      <c r="AV6" s="52" t="s">
        <v>102</v>
      </c>
      <c r="AW6" s="52"/>
      <c r="AX6" s="51"/>
    </row>
    <row r="7" spans="1:52" ht="20.100000000000001" customHeight="1">
      <c r="A7" s="5"/>
      <c r="B7" s="6" t="str">
        <f>INDEX(AT10:AV10,$AJ$4)</f>
        <v>hrací plocha:</v>
      </c>
      <c r="C7" s="304">
        <v>11</v>
      </c>
      <c r="D7" s="305"/>
      <c r="E7" s="122" t="s">
        <v>167</v>
      </c>
      <c r="F7" s="302">
        <v>14</v>
      </c>
      <c r="G7" s="303"/>
      <c r="H7" s="56" t="s">
        <v>168</v>
      </c>
      <c r="I7" s="58"/>
      <c r="J7" s="57"/>
      <c r="K7" s="56"/>
      <c r="L7" s="57"/>
      <c r="M7" s="2"/>
      <c r="N7" s="9"/>
      <c r="O7" s="2"/>
      <c r="P7" s="2"/>
      <c r="Q7" s="45" t="str">
        <f>INDEX(AT11:AV11,$AJ$4)</f>
        <v>doba hry:</v>
      </c>
      <c r="R7" s="111">
        <v>2</v>
      </c>
      <c r="S7" s="131"/>
      <c r="T7" s="111" t="s">
        <v>167</v>
      </c>
      <c r="U7" s="217">
        <v>7</v>
      </c>
      <c r="V7" s="112"/>
      <c r="W7" s="111" t="s">
        <v>166</v>
      </c>
      <c r="X7" s="111"/>
      <c r="Y7" s="59"/>
      <c r="Z7" s="59"/>
      <c r="AA7" s="59"/>
      <c r="AB7" s="59"/>
      <c r="AC7" s="59"/>
      <c r="AE7"/>
      <c r="AG7"/>
      <c r="AJ7" s="117" t="s">
        <v>161</v>
      </c>
      <c r="AM7" s="213" t="s">
        <v>164</v>
      </c>
      <c r="AN7" s="213"/>
      <c r="AS7" s="44"/>
      <c r="AT7" s="52" t="s">
        <v>71</v>
      </c>
      <c r="AU7" s="52" t="s">
        <v>40</v>
      </c>
      <c r="AV7" s="52" t="s">
        <v>83</v>
      </c>
      <c r="AW7" s="51"/>
      <c r="AX7" s="51"/>
    </row>
    <row r="8" spans="1:52" ht="9" customHeight="1" thickBot="1">
      <c r="AE8"/>
      <c r="AG8"/>
      <c r="AM8" s="212" t="s">
        <v>182</v>
      </c>
      <c r="AN8" s="214"/>
      <c r="AS8" s="44"/>
      <c r="AT8" s="52" t="s">
        <v>0</v>
      </c>
      <c r="AU8" s="52" t="s">
        <v>41</v>
      </c>
      <c r="AV8" s="52" t="s">
        <v>41</v>
      </c>
      <c r="AW8" s="52"/>
      <c r="AX8" s="51"/>
    </row>
    <row r="9" spans="1:52" ht="24" customHeight="1" thickBot="1">
      <c r="A9" s="270" t="str">
        <f>INDEX(AT12:AV12,$AJ$4)</f>
        <v>Startující</v>
      </c>
      <c r="B9" s="271"/>
      <c r="C9" s="271"/>
      <c r="D9" s="271"/>
      <c r="E9" s="271"/>
      <c r="F9" s="271"/>
      <c r="G9" s="271"/>
      <c r="H9" s="272"/>
      <c r="AE9"/>
      <c r="AG9"/>
      <c r="AN9" s="215" t="s">
        <v>183</v>
      </c>
      <c r="AS9" s="44"/>
      <c r="AT9" s="110" t="s">
        <v>164</v>
      </c>
      <c r="AU9" s="52" t="s">
        <v>65</v>
      </c>
      <c r="AV9" s="52" t="s">
        <v>84</v>
      </c>
      <c r="AW9" s="51"/>
      <c r="AX9" s="51"/>
    </row>
    <row r="10" spans="1:52" ht="9.75" customHeight="1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AE10"/>
      <c r="AG10"/>
      <c r="AN10" s="214" t="s">
        <v>184</v>
      </c>
      <c r="AS10" s="44"/>
      <c r="AT10" s="52" t="s">
        <v>43</v>
      </c>
      <c r="AU10" s="52" t="s">
        <v>42</v>
      </c>
      <c r="AV10" s="52" t="s">
        <v>85</v>
      </c>
      <c r="AW10" s="52"/>
      <c r="AX10" s="51"/>
    </row>
    <row r="11" spans="1:52" ht="13.5" customHeight="1">
      <c r="A11" s="39"/>
      <c r="B11" s="299" t="str">
        <f>INDEX(AT13:AV13,$AJ$4)</f>
        <v>Těl. spolek - klub</v>
      </c>
      <c r="C11" s="300"/>
      <c r="D11" s="300"/>
      <c r="E11" s="300"/>
      <c r="F11" s="299" t="str">
        <f>INDEX(AT14:AV14,$AJ$4)</f>
        <v>JMÉNO</v>
      </c>
      <c r="G11" s="300"/>
      <c r="H11" s="300"/>
      <c r="I11" s="300"/>
      <c r="J11" s="300">
        <f>INDEX(BB12:BC12,$AJ$4)</f>
        <v>0</v>
      </c>
      <c r="K11" s="300"/>
      <c r="L11" s="300"/>
      <c r="M11" s="300"/>
      <c r="N11" s="300">
        <f>INDEX(BF12:BG12,$AJ$4)</f>
        <v>0</v>
      </c>
      <c r="O11" s="300"/>
      <c r="P11" s="300"/>
      <c r="Q11" s="300"/>
      <c r="R11" s="285" t="str">
        <f>INDEX(AT15:AV15,$AJ$4)</f>
        <v>UCI-ID</v>
      </c>
      <c r="S11" s="286"/>
      <c r="T11" s="286"/>
      <c r="U11" s="286"/>
      <c r="V11" s="286"/>
      <c r="W11" s="299" t="str">
        <f>INDEX(AT14:AV14,$AJ$4)</f>
        <v>JMÉNO</v>
      </c>
      <c r="X11" s="300"/>
      <c r="Y11" s="300"/>
      <c r="Z11" s="300"/>
      <c r="AA11" s="300">
        <f>INDEX(BS12:BT12,$AJ$4)</f>
        <v>0</v>
      </c>
      <c r="AB11" s="300"/>
      <c r="AC11" s="300"/>
      <c r="AD11" s="300"/>
      <c r="AE11" s="300">
        <f>INDEX(BW12:BX12,$AJ$4)</f>
        <v>0</v>
      </c>
      <c r="AF11" s="300"/>
      <c r="AG11" s="285" t="str">
        <f>INDEX(AT15:AV15,$AJ$4)</f>
        <v>UCI-ID</v>
      </c>
      <c r="AH11" s="286"/>
      <c r="AN11" s="214" t="s">
        <v>185</v>
      </c>
      <c r="AS11" s="44"/>
      <c r="AT11" s="52" t="s">
        <v>44</v>
      </c>
      <c r="AU11" s="52" t="s">
        <v>45</v>
      </c>
      <c r="AV11" s="52" t="s">
        <v>86</v>
      </c>
      <c r="AW11" s="52"/>
      <c r="AX11" s="51"/>
    </row>
    <row r="12" spans="1:52" ht="18" customHeight="1">
      <c r="A12" s="133">
        <v>1</v>
      </c>
      <c r="B12" s="224" t="str">
        <f>IF('Pořadí zápasů 7 Teams_Spielplan'!Q6=0,"",'Pořadí zápasů 7 Teams_Spielplan'!Q6)</f>
        <v>Sokol Zlín-Prštné 1</v>
      </c>
      <c r="C12" s="225"/>
      <c r="D12" s="225"/>
      <c r="E12" s="226"/>
      <c r="F12" s="235" t="s">
        <v>211</v>
      </c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8"/>
      <c r="R12" s="287">
        <v>10046411349</v>
      </c>
      <c r="S12" s="288"/>
      <c r="T12" s="288"/>
      <c r="U12" s="288"/>
      <c r="V12" s="289"/>
      <c r="W12" s="238" t="s">
        <v>212</v>
      </c>
      <c r="X12" s="252"/>
      <c r="Y12" s="252"/>
      <c r="Z12" s="252"/>
      <c r="AA12" s="252"/>
      <c r="AB12" s="252"/>
      <c r="AC12" s="252"/>
      <c r="AD12" s="252"/>
      <c r="AE12" s="252"/>
      <c r="AF12" s="253"/>
      <c r="AG12" s="294">
        <v>10092746835</v>
      </c>
      <c r="AH12" s="295"/>
      <c r="AI12" s="10"/>
      <c r="AJ12" s="130" t="s">
        <v>178</v>
      </c>
      <c r="AK12" s="10"/>
      <c r="AN12" s="214" t="s">
        <v>186</v>
      </c>
      <c r="AS12" s="44"/>
      <c r="AT12" s="52" t="s">
        <v>1</v>
      </c>
      <c r="AU12" s="52" t="s">
        <v>46</v>
      </c>
      <c r="AV12" s="67" t="s">
        <v>88</v>
      </c>
      <c r="AW12" s="52"/>
      <c r="AX12" s="51"/>
    </row>
    <row r="13" spans="1:52" ht="18" customHeight="1">
      <c r="A13" s="134">
        <v>2</v>
      </c>
      <c r="B13" s="135" t="str">
        <f>IF('Pořadí zápasů 7 Teams_Spielplan'!Q7=0,"",'Pořadí zápasů 7 Teams_Spielplan'!Q7)</f>
        <v>Sokol Zlín-Prštné 2</v>
      </c>
      <c r="C13" s="136"/>
      <c r="D13" s="136"/>
      <c r="E13" s="137"/>
      <c r="F13" s="235" t="s">
        <v>225</v>
      </c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8"/>
      <c r="R13" s="287">
        <v>10047314762</v>
      </c>
      <c r="S13" s="288"/>
      <c r="T13" s="288"/>
      <c r="U13" s="288"/>
      <c r="V13" s="289"/>
      <c r="W13" s="261" t="s">
        <v>226</v>
      </c>
      <c r="X13" s="218"/>
      <c r="Y13" s="218"/>
      <c r="Z13" s="218"/>
      <c r="AA13" s="218"/>
      <c r="AB13" s="218"/>
      <c r="AC13" s="218"/>
      <c r="AD13" s="218"/>
      <c r="AE13" s="218"/>
      <c r="AF13" s="219"/>
      <c r="AG13" s="282">
        <v>10047215843</v>
      </c>
      <c r="AH13" s="284"/>
      <c r="AI13" s="10"/>
      <c r="AJ13" s="124"/>
      <c r="AK13" s="10"/>
      <c r="AN13" s="214" t="s">
        <v>187</v>
      </c>
      <c r="AS13" s="44"/>
      <c r="AT13" s="110" t="s">
        <v>165</v>
      </c>
      <c r="AU13" s="52" t="s">
        <v>48</v>
      </c>
      <c r="AV13" s="52" t="s">
        <v>87</v>
      </c>
      <c r="AW13" s="52"/>
      <c r="AX13" s="51"/>
    </row>
    <row r="14" spans="1:52" ht="18" customHeight="1">
      <c r="A14" s="134">
        <v>3</v>
      </c>
      <c r="B14" s="135" t="str">
        <f>IF('Pořadí zápasů 7 Teams_Spielplan'!Q8=0,"",'Pořadí zápasů 7 Teams_Spielplan'!Q8)</f>
        <v>MO Svitávka</v>
      </c>
      <c r="C14" s="136"/>
      <c r="D14" s="136"/>
      <c r="E14" s="137"/>
      <c r="F14" s="237" t="s">
        <v>198</v>
      </c>
      <c r="G14" s="230"/>
      <c r="H14" s="222"/>
      <c r="I14" s="222"/>
      <c r="J14" s="222"/>
      <c r="K14" s="222"/>
      <c r="L14" s="222"/>
      <c r="M14" s="222"/>
      <c r="N14" s="222"/>
      <c r="O14" s="222"/>
      <c r="P14" s="222"/>
      <c r="Q14" s="223"/>
      <c r="R14" s="287">
        <v>10047129149</v>
      </c>
      <c r="S14" s="288"/>
      <c r="T14" s="288"/>
      <c r="U14" s="288"/>
      <c r="V14" s="289"/>
      <c r="W14" s="235" t="s">
        <v>199</v>
      </c>
      <c r="X14" s="231"/>
      <c r="Y14" s="220"/>
      <c r="Z14" s="220"/>
      <c r="AA14" s="220"/>
      <c r="AB14" s="220"/>
      <c r="AC14" s="220"/>
      <c r="AD14" s="220"/>
      <c r="AE14" s="220"/>
      <c r="AF14" s="221"/>
      <c r="AG14" s="287">
        <v>10014336479</v>
      </c>
      <c r="AH14" s="289"/>
      <c r="AI14" s="11"/>
      <c r="AJ14" s="11"/>
      <c r="AK14" s="11"/>
      <c r="AN14" s="214" t="s">
        <v>188</v>
      </c>
      <c r="AR14" s="11"/>
      <c r="AS14" s="44"/>
      <c r="AT14" s="52" t="s">
        <v>2</v>
      </c>
      <c r="AU14" s="52" t="s">
        <v>47</v>
      </c>
      <c r="AV14" s="52" t="s">
        <v>89</v>
      </c>
      <c r="AW14" s="52"/>
      <c r="AX14" s="51"/>
    </row>
    <row r="15" spans="1:52" ht="18" customHeight="1">
      <c r="A15" s="134">
        <v>4</v>
      </c>
      <c r="B15" s="135" t="str">
        <f>IF('Pořadí zápasů 7 Teams_Spielplan'!Q9=0,"",'Pořadí zápasů 7 Teams_Spielplan'!Q9)</f>
        <v>SC Svitávka</v>
      </c>
      <c r="C15" s="136"/>
      <c r="D15" s="136"/>
      <c r="E15" s="137"/>
      <c r="F15" s="236" t="s">
        <v>197</v>
      </c>
      <c r="G15" s="229"/>
      <c r="H15" s="138"/>
      <c r="I15" s="138"/>
      <c r="J15" s="138"/>
      <c r="K15" s="138"/>
      <c r="L15" s="138"/>
      <c r="M15" s="138"/>
      <c r="N15" s="138"/>
      <c r="O15" s="138"/>
      <c r="P15" s="138"/>
      <c r="Q15" s="139"/>
      <c r="R15" s="290">
        <v>10012809539</v>
      </c>
      <c r="S15" s="291"/>
      <c r="T15" s="291"/>
      <c r="U15" s="291"/>
      <c r="V15" s="292"/>
      <c r="W15" s="238" t="s">
        <v>206</v>
      </c>
      <c r="X15" s="232"/>
      <c r="Y15" s="140"/>
      <c r="Z15" s="140"/>
      <c r="AA15" s="140"/>
      <c r="AB15" s="140"/>
      <c r="AC15" s="140"/>
      <c r="AD15" s="140"/>
      <c r="AE15" s="140"/>
      <c r="AF15" s="141"/>
      <c r="AG15" s="290">
        <v>10014409635</v>
      </c>
      <c r="AH15" s="292"/>
      <c r="AI15" s="11"/>
      <c r="AJ15" s="11"/>
      <c r="AK15" s="11"/>
      <c r="AN15" s="215" t="s">
        <v>189</v>
      </c>
      <c r="AR15" s="11"/>
      <c r="AS15" s="44"/>
      <c r="AT15" s="52" t="s">
        <v>196</v>
      </c>
      <c r="AU15" s="52" t="s">
        <v>196</v>
      </c>
      <c r="AV15" s="52" t="s">
        <v>196</v>
      </c>
      <c r="AW15" s="52"/>
      <c r="AX15" s="51"/>
    </row>
    <row r="16" spans="1:52" ht="18" customHeight="1">
      <c r="A16" s="134">
        <v>5</v>
      </c>
      <c r="B16" s="135" t="str">
        <f>IF('Pořadí zápasů 7 Teams_Spielplan'!Q10=0,"",'Pořadí zápasů 7 Teams_Spielplan'!Q10)</f>
        <v>Favorit Brno</v>
      </c>
      <c r="C16" s="136"/>
      <c r="D16" s="136"/>
      <c r="E16" s="137"/>
      <c r="F16" s="266" t="s">
        <v>228</v>
      </c>
      <c r="G16" s="267"/>
      <c r="H16" s="267"/>
      <c r="I16" s="268"/>
      <c r="J16" s="268"/>
      <c r="K16" s="268"/>
      <c r="L16" s="268"/>
      <c r="M16" s="268"/>
      <c r="N16" s="268"/>
      <c r="O16" s="268"/>
      <c r="P16" s="268"/>
      <c r="Q16" s="269"/>
      <c r="R16" s="287">
        <v>10015165427</v>
      </c>
      <c r="S16" s="288"/>
      <c r="T16" s="288"/>
      <c r="U16" s="288"/>
      <c r="V16" s="289"/>
      <c r="W16" s="238" t="s">
        <v>201</v>
      </c>
      <c r="X16" s="232"/>
      <c r="Y16" s="218"/>
      <c r="Z16" s="218"/>
      <c r="AA16" s="218"/>
      <c r="AB16" s="218"/>
      <c r="AC16" s="218"/>
      <c r="AD16" s="218"/>
      <c r="AE16" s="218"/>
      <c r="AF16" s="219"/>
      <c r="AG16" s="282">
        <v>10014280606</v>
      </c>
      <c r="AH16" s="284"/>
      <c r="AI16" s="10"/>
      <c r="AJ16" s="10"/>
      <c r="AK16" s="10"/>
      <c r="AN16" s="214" t="s">
        <v>190</v>
      </c>
      <c r="AR16" s="10"/>
      <c r="AS16" s="44"/>
      <c r="AT16" s="52" t="s">
        <v>3</v>
      </c>
      <c r="AU16" s="52" t="s">
        <v>52</v>
      </c>
      <c r="AV16" s="52" t="s">
        <v>79</v>
      </c>
      <c r="AW16" s="52"/>
      <c r="AX16" s="51"/>
    </row>
    <row r="17" spans="1:50" ht="18" customHeight="1">
      <c r="A17" s="134">
        <v>6</v>
      </c>
      <c r="B17" s="135" t="str">
        <f>IF('Pořadí zápasů 7 Teams_Spielplan'!Q11=0,"",'Pořadí zápasů 7 Teams_Spielplan'!Q11)</f>
        <v>Sokol Šitbořice</v>
      </c>
      <c r="C17" s="136"/>
      <c r="D17" s="136"/>
      <c r="E17" s="137"/>
      <c r="F17" s="236" t="s">
        <v>227</v>
      </c>
      <c r="G17" s="229"/>
      <c r="H17" s="138"/>
      <c r="I17" s="138"/>
      <c r="J17" s="138"/>
      <c r="K17" s="138"/>
      <c r="L17" s="138"/>
      <c r="M17" s="138"/>
      <c r="N17" s="138"/>
      <c r="O17" s="138"/>
      <c r="P17" s="138"/>
      <c r="Q17" s="139"/>
      <c r="R17" s="282">
        <v>10047957184</v>
      </c>
      <c r="S17" s="283"/>
      <c r="T17" s="283"/>
      <c r="U17" s="283"/>
      <c r="V17" s="284"/>
      <c r="W17" s="263" t="s">
        <v>234</v>
      </c>
      <c r="X17" s="111"/>
      <c r="Y17" s="264"/>
      <c r="Z17" s="264"/>
      <c r="AA17" s="264"/>
      <c r="AB17" s="264"/>
      <c r="AC17" s="264"/>
      <c r="AD17" s="264"/>
      <c r="AE17" s="264"/>
      <c r="AF17" s="265"/>
      <c r="AG17" s="287">
        <v>10015504422</v>
      </c>
      <c r="AH17" s="289"/>
      <c r="AI17" s="10"/>
      <c r="AJ17" s="10"/>
      <c r="AK17" s="10"/>
      <c r="AN17" s="215" t="s">
        <v>191</v>
      </c>
      <c r="AR17" s="10"/>
      <c r="AS17" s="44"/>
      <c r="AT17" s="52" t="s">
        <v>33</v>
      </c>
      <c r="AU17" s="52" t="s">
        <v>103</v>
      </c>
      <c r="AV17" s="52" t="s">
        <v>80</v>
      </c>
      <c r="AW17" s="52"/>
      <c r="AX17" s="51"/>
    </row>
    <row r="18" spans="1:50" ht="18" customHeight="1">
      <c r="A18" s="134">
        <v>7</v>
      </c>
      <c r="B18" s="135" t="str">
        <f>IF('Pořadí zápasů 7 Teams_Spielplan'!Q12=0,"",'Pořadí zápasů 7 Teams_Spielplan'!Q12)</f>
        <v>Prima Nezamyslice</v>
      </c>
      <c r="C18" s="136"/>
      <c r="D18" s="136"/>
      <c r="E18" s="137"/>
      <c r="F18" s="259" t="s">
        <v>215</v>
      </c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282">
        <v>10047505429</v>
      </c>
      <c r="S18" s="283"/>
      <c r="T18" s="283"/>
      <c r="U18" s="283"/>
      <c r="V18" s="284"/>
      <c r="W18" s="260" t="s">
        <v>216</v>
      </c>
      <c r="X18" s="140"/>
      <c r="Y18" s="140"/>
      <c r="Z18" s="140"/>
      <c r="AA18" s="140"/>
      <c r="AB18" s="140"/>
      <c r="AC18" s="140"/>
      <c r="AD18" s="140"/>
      <c r="AE18" s="140"/>
      <c r="AF18" s="141"/>
      <c r="AG18" s="290">
        <v>10047507348</v>
      </c>
      <c r="AH18" s="292"/>
      <c r="AI18" s="10"/>
      <c r="AJ18" s="10"/>
      <c r="AK18" s="10"/>
      <c r="AN18" s="214" t="s">
        <v>192</v>
      </c>
      <c r="AR18" s="10"/>
      <c r="AS18" s="44"/>
      <c r="AT18" s="52" t="s">
        <v>34</v>
      </c>
      <c r="AU18" s="52" t="s">
        <v>49</v>
      </c>
      <c r="AV18" s="52" t="s">
        <v>81</v>
      </c>
      <c r="AW18" s="52"/>
      <c r="AX18" s="51"/>
    </row>
    <row r="19" spans="1:50" ht="18" customHeight="1">
      <c r="A19" s="84"/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10"/>
      <c r="AK19" s="10"/>
      <c r="AN19" s="215" t="s">
        <v>193</v>
      </c>
      <c r="AR19" s="10"/>
      <c r="AS19" s="44"/>
      <c r="AT19" s="64"/>
      <c r="AU19" s="64"/>
      <c r="AV19" s="64"/>
      <c r="AW19" s="52"/>
      <c r="AX19" s="51"/>
    </row>
    <row r="20" spans="1:50" ht="9.75" customHeight="1" thickBot="1"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AE20"/>
      <c r="AG20"/>
      <c r="AN20" s="215" t="s">
        <v>194</v>
      </c>
      <c r="AS20" s="44"/>
      <c r="AT20" s="64"/>
      <c r="AU20" s="64"/>
      <c r="AV20" s="64"/>
      <c r="AW20" s="52"/>
      <c r="AX20" s="51"/>
    </row>
    <row r="21" spans="1:50" ht="24" customHeight="1" thickBot="1">
      <c r="A21" s="270" t="str">
        <f>INDEX(AT16:AV16,$AJ$4)</f>
        <v>Rozhodčí</v>
      </c>
      <c r="B21" s="271"/>
      <c r="C21" s="271"/>
      <c r="D21" s="271"/>
      <c r="E21" s="271"/>
      <c r="F21" s="271"/>
      <c r="G21" s="271"/>
      <c r="H21" s="272"/>
      <c r="AE21"/>
      <c r="AG21"/>
      <c r="AN21" s="214" t="s">
        <v>195</v>
      </c>
      <c r="AS21" s="44"/>
      <c r="AT21" s="52" t="s">
        <v>35</v>
      </c>
      <c r="AU21" s="52" t="s">
        <v>50</v>
      </c>
      <c r="AV21" s="52" t="s">
        <v>82</v>
      </c>
      <c r="AW21" s="51"/>
      <c r="AX21" s="51"/>
    </row>
    <row r="22" spans="1:50" ht="6.75" customHeight="1">
      <c r="AE22"/>
      <c r="AG22"/>
      <c r="AS22" s="44"/>
      <c r="AT22" s="52" t="s">
        <v>4</v>
      </c>
      <c r="AU22" s="52" t="s">
        <v>51</v>
      </c>
      <c r="AV22" s="52" t="s">
        <v>79</v>
      </c>
      <c r="AW22" s="51"/>
      <c r="AX22" s="51"/>
    </row>
    <row r="23" spans="1:50" ht="18" customHeight="1">
      <c r="A23" s="5"/>
      <c r="B23" s="12" t="str">
        <f>INDEX(AT17:AV17,$AJ$4)</f>
        <v>Hlavní rozhodčí:</v>
      </c>
      <c r="C23" s="245" t="s">
        <v>237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09"/>
      <c r="Q23" s="10"/>
      <c r="R23" s="12"/>
      <c r="S23" s="10"/>
      <c r="T23" s="10"/>
      <c r="U23" s="46" t="str">
        <f>INDEX(AT22:AV22,$AJ$4)</f>
        <v>Rozhodčí:</v>
      </c>
      <c r="V23" s="10"/>
      <c r="W23" s="254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142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44"/>
      <c r="AT23" s="52" t="s">
        <v>5</v>
      </c>
      <c r="AU23" s="52" t="s">
        <v>37</v>
      </c>
      <c r="AV23" s="52" t="s">
        <v>90</v>
      </c>
      <c r="AW23" s="51"/>
      <c r="AX23" s="51"/>
    </row>
    <row r="24" spans="1:50" ht="18" customHeight="1">
      <c r="A24" s="5"/>
      <c r="B24" s="12" t="str">
        <f>INDEX(AT18:AV18,$AJ$4)</f>
        <v>Časoměřič:</v>
      </c>
      <c r="C24" s="56"/>
      <c r="D24" s="57"/>
      <c r="E24" s="57"/>
      <c r="F24" s="57"/>
      <c r="G24" s="57"/>
      <c r="H24" s="57"/>
      <c r="I24" s="57"/>
      <c r="J24" s="57"/>
      <c r="K24" s="56"/>
      <c r="L24" s="57"/>
      <c r="M24" s="57"/>
      <c r="N24" s="57"/>
      <c r="O24" s="57"/>
      <c r="P24" s="10"/>
      <c r="Q24" s="10"/>
      <c r="R24" s="10"/>
      <c r="S24" s="10"/>
      <c r="T24" s="10"/>
      <c r="U24" s="10"/>
      <c r="V24" s="10"/>
      <c r="W24" s="2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142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44"/>
      <c r="AT24" s="52" t="s">
        <v>6</v>
      </c>
      <c r="AU24" s="52" t="s">
        <v>68</v>
      </c>
      <c r="AV24" s="52" t="s">
        <v>91</v>
      </c>
      <c r="AW24" s="51"/>
      <c r="AX24" s="51"/>
    </row>
    <row r="25" spans="1:50" ht="18" customHeight="1">
      <c r="A25" s="5"/>
      <c r="B25" s="12" t="str">
        <f>INDEX(AT21:AV21,$AJ$4)</f>
        <v>Zapisovatel:</v>
      </c>
      <c r="C25" s="56"/>
      <c r="D25" s="57"/>
      <c r="E25" s="57"/>
      <c r="F25" s="57"/>
      <c r="G25" s="57"/>
      <c r="H25" s="57"/>
      <c r="I25" s="57"/>
      <c r="J25" s="57"/>
      <c r="K25" s="56"/>
      <c r="L25" s="57"/>
      <c r="M25" s="57"/>
      <c r="N25" s="57"/>
      <c r="O25" s="57"/>
      <c r="P25" s="10"/>
      <c r="Q25" s="10"/>
      <c r="R25" s="10"/>
      <c r="S25" s="10"/>
      <c r="T25" s="10"/>
      <c r="U25" s="10"/>
      <c r="V25" s="10"/>
      <c r="W25" s="242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142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44"/>
      <c r="AT25" s="52" t="s">
        <v>27</v>
      </c>
      <c r="AU25" s="52" t="s">
        <v>38</v>
      </c>
      <c r="AV25" s="52" t="s">
        <v>92</v>
      </c>
      <c r="AW25" s="51"/>
      <c r="AX25" s="51"/>
    </row>
    <row r="26" spans="1:50" ht="18" customHeight="1">
      <c r="B26" s="10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10"/>
      <c r="Q26" s="10"/>
      <c r="R26" s="10"/>
      <c r="S26" s="10"/>
      <c r="T26" s="10"/>
      <c r="U26" s="125"/>
      <c r="V26" s="10"/>
      <c r="W26" s="242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142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44"/>
      <c r="AT26" s="52" t="s">
        <v>7</v>
      </c>
      <c r="AU26" s="52" t="s">
        <v>64</v>
      </c>
      <c r="AV26" s="52" t="s">
        <v>94</v>
      </c>
      <c r="AW26" s="51"/>
      <c r="AX26" s="51"/>
    </row>
    <row r="27" spans="1:50" ht="18" customHeight="1" thickBot="1">
      <c r="W27" s="255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10"/>
      <c r="AS27" s="44"/>
      <c r="AT27" s="52" t="s">
        <v>9</v>
      </c>
      <c r="AU27" s="52" t="s">
        <v>53</v>
      </c>
      <c r="AV27" s="52" t="s">
        <v>93</v>
      </c>
      <c r="AW27" s="51"/>
      <c r="AX27" s="51"/>
    </row>
    <row r="28" spans="1:50" ht="24" customHeight="1" thickBot="1">
      <c r="A28" s="270" t="str">
        <f>INDEX(AT23:AV23,$AJ$4)</f>
        <v>Výsledky</v>
      </c>
      <c r="B28" s="271"/>
      <c r="C28" s="271"/>
      <c r="D28" s="271"/>
      <c r="E28" s="271"/>
      <c r="F28" s="271"/>
      <c r="G28" s="271"/>
      <c r="H28" s="272"/>
      <c r="I28" s="3"/>
      <c r="J28" s="3"/>
      <c r="K28" s="3"/>
      <c r="L28" s="3"/>
      <c r="M28" s="3"/>
      <c r="N28" s="3"/>
      <c r="P28" s="3"/>
      <c r="S28" s="3"/>
      <c r="V28" s="3"/>
      <c r="Y28" s="3"/>
      <c r="AB28" s="3"/>
      <c r="AF28" s="3"/>
      <c r="AS28" s="44"/>
      <c r="AT28" s="52" t="s">
        <v>169</v>
      </c>
      <c r="AU28" s="52" t="s">
        <v>170</v>
      </c>
      <c r="AV28" s="52" t="s">
        <v>171</v>
      </c>
      <c r="AW28" s="51"/>
      <c r="AX28" s="51"/>
    </row>
    <row r="29" spans="1:50" ht="12" customHeight="1">
      <c r="C29" s="273" t="s">
        <v>209</v>
      </c>
      <c r="D29" s="273"/>
      <c r="E29" s="273"/>
      <c r="F29" s="273" t="s">
        <v>210</v>
      </c>
      <c r="G29" s="273"/>
      <c r="H29" s="273"/>
      <c r="I29" s="273" t="s">
        <v>229</v>
      </c>
      <c r="J29" s="273"/>
      <c r="K29" s="273"/>
      <c r="L29" s="278" t="s">
        <v>204</v>
      </c>
      <c r="M29" s="278"/>
      <c r="N29" s="278"/>
      <c r="O29" s="278" t="s">
        <v>205</v>
      </c>
      <c r="P29" s="278"/>
      <c r="Q29" s="278"/>
      <c r="R29" s="278" t="s">
        <v>230</v>
      </c>
      <c r="S29" s="278"/>
      <c r="T29" s="278"/>
      <c r="U29" s="278" t="s">
        <v>231</v>
      </c>
      <c r="V29" s="278"/>
      <c r="W29" s="278"/>
      <c r="X29" s="273"/>
      <c r="Y29" s="273"/>
      <c r="Z29" s="273"/>
      <c r="AA29" s="62"/>
      <c r="AB29" s="62"/>
      <c r="AC29" s="62"/>
      <c r="AS29" s="44"/>
      <c r="AT29" s="52" t="s">
        <v>36</v>
      </c>
      <c r="AU29" s="52" t="s">
        <v>54</v>
      </c>
      <c r="AV29" s="52" t="s">
        <v>104</v>
      </c>
      <c r="AW29" s="51"/>
      <c r="AX29" s="51"/>
    </row>
    <row r="30" spans="1:50" ht="15" customHeight="1">
      <c r="A30" s="143"/>
      <c r="B30" s="132" t="str">
        <f>INDEX(AT13:AV13,$AJ$4)</f>
        <v>Těl. spolek - klub</v>
      </c>
      <c r="C30" s="39">
        <v>1</v>
      </c>
      <c r="D30" s="39"/>
      <c r="E30" s="39"/>
      <c r="F30" s="39">
        <v>2</v>
      </c>
      <c r="G30" s="39"/>
      <c r="H30" s="39"/>
      <c r="I30" s="39">
        <v>3</v>
      </c>
      <c r="J30" s="39"/>
      <c r="K30" s="39"/>
      <c r="L30" s="39">
        <v>4</v>
      </c>
      <c r="M30" s="39"/>
      <c r="N30" s="39"/>
      <c r="O30" s="39">
        <v>5</v>
      </c>
      <c r="P30" s="39"/>
      <c r="Q30" s="39"/>
      <c r="R30" s="144">
        <v>6</v>
      </c>
      <c r="S30" s="144"/>
      <c r="T30" s="144"/>
      <c r="U30" s="144">
        <v>7</v>
      </c>
      <c r="V30" s="144"/>
      <c r="W30" s="144"/>
      <c r="X30" s="145">
        <v>8</v>
      </c>
      <c r="Y30" s="145"/>
      <c r="Z30" s="145"/>
      <c r="AA30" s="145">
        <v>9</v>
      </c>
      <c r="AB30" s="145"/>
      <c r="AC30" s="145"/>
      <c r="AD30" s="146" t="str">
        <f>INDEX(AT24:AV24,$AJ$4)</f>
        <v>Body</v>
      </c>
      <c r="AE30" s="147" t="str">
        <f>INDEX(AT25:AV25,$AJ$4)</f>
        <v>Branky</v>
      </c>
      <c r="AF30" s="147"/>
      <c r="AG30" s="147"/>
      <c r="AH30" s="148" t="str">
        <f>INDEX(AT26:AV26,$AJ$4)</f>
        <v>Místo</v>
      </c>
      <c r="AJ30" s="71" t="s">
        <v>105</v>
      </c>
      <c r="AM30" s="71"/>
      <c r="AN30" s="71"/>
      <c r="AO30" s="71"/>
      <c r="AP30" s="71"/>
      <c r="AQ30" s="71"/>
      <c r="AS30" s="44"/>
      <c r="AT30" s="52" t="s">
        <v>21</v>
      </c>
      <c r="AU30" s="52" t="s">
        <v>55</v>
      </c>
      <c r="AV30" s="52" t="s">
        <v>95</v>
      </c>
      <c r="AW30" s="51"/>
      <c r="AX30" s="51"/>
    </row>
    <row r="31" spans="1:50" ht="22.05" customHeight="1">
      <c r="A31" s="149">
        <v>1</v>
      </c>
      <c r="B31" s="233" t="str">
        <f>IF(B12=0,"",B12)</f>
        <v>Sokol Zlín-Prštné 1</v>
      </c>
      <c r="C31" s="150"/>
      <c r="D31" s="151"/>
      <c r="E31" s="151"/>
      <c r="F31" s="152" t="str">
        <f>IF('Pořadí zápasů 7 Teams_Spielplan'!$L6="","",'Pořadí zápasů 7 Teams_Spielplan'!$L6)</f>
        <v/>
      </c>
      <c r="G31" s="153" t="s">
        <v>8</v>
      </c>
      <c r="H31" s="154" t="str">
        <f>IF('Pořadí zápasů 7 Teams_Spielplan'!$N6="","",'Pořadí zápasů 7 Teams_Spielplan'!$N6)</f>
        <v/>
      </c>
      <c r="I31" s="152" t="str">
        <f>IF('Pořadí zápasů 7 Teams_Spielplan'!$L13="","",'Pořadí zápasů 7 Teams_Spielplan'!$L13)</f>
        <v/>
      </c>
      <c r="J31" s="153" t="s">
        <v>8</v>
      </c>
      <c r="K31" s="154" t="str">
        <f>IF('Pořadí zápasů 7 Teams_Spielplan'!$N13="","",'Pořadí zápasů 7 Teams_Spielplan'!$N13)</f>
        <v/>
      </c>
      <c r="L31" s="152" t="str">
        <f>IF('Pořadí zápasů 7 Teams_Spielplan'!$L23="","",'Pořadí zápasů 7 Teams_Spielplan'!$L23)</f>
        <v/>
      </c>
      <c r="M31" s="153" t="s">
        <v>8</v>
      </c>
      <c r="N31" s="154" t="str">
        <f>IF('Pořadí zápasů 7 Teams_Spielplan'!$N23="","",'Pořadí zápasů 7 Teams_Spielplan'!$N23)</f>
        <v/>
      </c>
      <c r="O31" s="152" t="str">
        <f>IF('Pořadí zápasů 7 Teams_Spielplan'!$L20="","",'Pořadí zápasů 7 Teams_Spielplan'!$L20)</f>
        <v/>
      </c>
      <c r="P31" s="153" t="s">
        <v>8</v>
      </c>
      <c r="Q31" s="155" t="str">
        <f>IF('Pořadí zápasů 7 Teams_Spielplan'!$N20="","",'Pořadí zápasů 7 Teams_Spielplan'!$N20)</f>
        <v/>
      </c>
      <c r="R31" s="152" t="str">
        <f>IF('Pořadí zápasů 7 Teams_Spielplan'!$L16="","",'Pořadí zápasů 7 Teams_Spielplan'!$L16)</f>
        <v/>
      </c>
      <c r="S31" s="153" t="s">
        <v>8</v>
      </c>
      <c r="T31" s="154" t="str">
        <f>IF('Pořadí zápasů 7 Teams_Spielplan'!$N16="","",'Pořadí zápasů 7 Teams_Spielplan'!$N16)</f>
        <v/>
      </c>
      <c r="U31" s="152" t="str">
        <f>IF('Pořadí zápasů 7 Teams_Spielplan'!$L9="","",'Pořadí zápasů 7 Teams_Spielplan'!$L9)</f>
        <v/>
      </c>
      <c r="V31" s="153" t="s">
        <v>8</v>
      </c>
      <c r="W31" s="154" t="str">
        <f>IF('Pořadí zápasů 7 Teams_Spielplan'!$N9="","",'Pořadí zápasů 7 Teams_Spielplan'!$N9)</f>
        <v/>
      </c>
      <c r="X31" s="156"/>
      <c r="Y31" s="157" t="s">
        <v>8</v>
      </c>
      <c r="Z31" s="158"/>
      <c r="AA31" s="156"/>
      <c r="AB31" s="157" t="s">
        <v>8</v>
      </c>
      <c r="AC31" s="159"/>
      <c r="AD31" s="160" t="str">
        <f>IF(F31="","",IF(AND(C31="",E31=""),0,IF(C31&gt;E31,3,IF(C31=E31,1,0)))+IF(AND(F31="",H31=""),0,IF(F31&gt;H31,3,IF(F31=H31,1,0)))+IF(AND(I31="",K31=""),0,IF(I31&gt;K31,3,IF(I31=K31,1,0)))+IF(AND(L31="",N31=""),0,IF(L31&gt;N31,3,IF(L31=N31,1,0)))+IF(AND(O31="",Q31=""),0,IF(O31&gt;Q31,3,IF(O31=Q31,1,0)))+IF(AND(R31="",T31=""),0,IF(R31&gt;T31,3,IF(R31=T31,1,0)))+IF(AND(U31="",W31=""),0,IF(U31&gt;W31,3,IF(U31=W31,1,0)))+IF(AND(X31="",Z31=""),0,IF(X31&gt;Z31,3,IF(X31=Z31,1,0)))+IF(AND(AA31="",AC31=""),0,IF(AA31&gt;AC31,3,IF(AA31=AC31,1,0))))</f>
        <v/>
      </c>
      <c r="AE31" s="161" t="str">
        <f>IF(F31="","",F31+I31+L31+O31+R31+U31+X31+AA31)</f>
        <v/>
      </c>
      <c r="AF31" s="162" t="s">
        <v>8</v>
      </c>
      <c r="AG31" s="161" t="str">
        <f>IF(H31="","",H31+K31+N31+Q31+T31+W31+Z31+AC31)</f>
        <v/>
      </c>
      <c r="AH31" s="163" t="str">
        <f>IF(F31="","",RANK(AD31,$AD$31:$AD$37))</f>
        <v/>
      </c>
      <c r="AI31" s="102" t="str">
        <f>IF(F31="","",AE31-AG31)</f>
        <v/>
      </c>
      <c r="AJ31" s="72"/>
      <c r="AM31" s="72"/>
      <c r="AN31" s="72"/>
      <c r="AS31" s="44"/>
      <c r="AT31" s="52" t="s">
        <v>63</v>
      </c>
      <c r="AU31" s="52" t="s">
        <v>64</v>
      </c>
      <c r="AV31" s="52" t="s">
        <v>96</v>
      </c>
      <c r="AW31" s="51"/>
      <c r="AX31" s="51"/>
    </row>
    <row r="32" spans="1:50" ht="22.05" customHeight="1">
      <c r="A32" s="164">
        <v>2</v>
      </c>
      <c r="B32" s="234" t="str">
        <f t="shared" ref="B32:B37" si="0">IF(B13=0,"",B13)</f>
        <v>Sokol Zlín-Prštné 2</v>
      </c>
      <c r="C32" s="165" t="str">
        <f>IF(H31="","",H31)</f>
        <v/>
      </c>
      <c r="D32" s="166" t="s">
        <v>8</v>
      </c>
      <c r="E32" s="166" t="str">
        <f>IF(F31="","",F31)</f>
        <v/>
      </c>
      <c r="F32" s="167"/>
      <c r="G32" s="168" t="s">
        <v>8</v>
      </c>
      <c r="H32" s="168"/>
      <c r="I32" s="169" t="str">
        <f>IF('Pořadí zápasů 7 Teams_Spielplan'!$L10="","",'Pořadí zápasů 7 Teams_Spielplan'!$L10)</f>
        <v/>
      </c>
      <c r="J32" s="170" t="s">
        <v>8</v>
      </c>
      <c r="K32" s="171" t="str">
        <f>IF('Pořadí zápasů 7 Teams_Spielplan'!$N10="","",'Pořadí zápasů 7 Teams_Spielplan'!$N10)</f>
        <v/>
      </c>
      <c r="L32" s="169" t="str">
        <f>IF('Pořadí zápasů 7 Teams_Spielplan'!$L26="","",'Pořadí zápasů 7 Teams_Spielplan'!$L26)</f>
        <v/>
      </c>
      <c r="M32" s="170" t="s">
        <v>8</v>
      </c>
      <c r="N32" s="172" t="str">
        <f>IF('Pořadí zápasů 7 Teams_Spielplan'!$N26="","",'Pořadí zápasů 7 Teams_Spielplan'!$N26)</f>
        <v/>
      </c>
      <c r="O32" s="169" t="str">
        <f>IF('Pořadí zápasů 7 Teams_Spielplan'!$L14="","",'Pořadí zápasů 7 Teams_Spielplan'!$L14)</f>
        <v/>
      </c>
      <c r="P32" s="170" t="s">
        <v>8</v>
      </c>
      <c r="Q32" s="172" t="str">
        <f>IF('Pořadí zápasů 7 Teams_Spielplan'!$N14="","",'Pořadí zápasů 7 Teams_Spielplan'!$N14)</f>
        <v/>
      </c>
      <c r="R32" s="173" t="str">
        <f>IF('Pořadí zápasů 7 Teams_Spielplan'!$L22="","",'Pořadí zápasů 7 Teams_Spielplan'!$L22)</f>
        <v/>
      </c>
      <c r="S32" s="174" t="s">
        <v>8</v>
      </c>
      <c r="T32" s="175" t="str">
        <f>IF('Pořadí zápasů 7 Teams_Spielplan'!$N22="","",'Pořadí zápasů 7 Teams_Spielplan'!$N22)</f>
        <v/>
      </c>
      <c r="U32" s="173" t="str">
        <f>IF('Pořadí zápasů 7 Teams_Spielplan'!$L18="","",'Pořadí zápasů 7 Teams_Spielplan'!$L18)</f>
        <v/>
      </c>
      <c r="V32" s="174" t="s">
        <v>8</v>
      </c>
      <c r="W32" s="171" t="str">
        <f>IF('Pořadí zápasů 7 Teams_Spielplan'!$N18="","",'Pořadí zápasů 7 Teams_Spielplan'!$N18)</f>
        <v/>
      </c>
      <c r="X32" s="176"/>
      <c r="Y32" s="177" t="s">
        <v>8</v>
      </c>
      <c r="Z32" s="178"/>
      <c r="AA32" s="176"/>
      <c r="AB32" s="177" t="s">
        <v>8</v>
      </c>
      <c r="AC32" s="179"/>
      <c r="AD32" s="180" t="str">
        <f t="shared" ref="AD32:AD37" si="1">IF(C32="","",IF(AND(C32="",E32=""),0,IF(C32&gt;E32,3,IF(C32=E32,1,0)))+IF(AND(F32="",H32=""),0,IF(F32&gt;H32,3,IF(F32=H32,1,0)))+IF(AND(I32="",K32=""),0,IF(I32&gt;K32,3,IF(I32=K32,1,0)))+IF(AND(L32="",N32=""),0,IF(L32&gt;N32,3,IF(L32=N32,1,0)))+IF(AND(O32="",Q32=""),0,IF(O32&gt;Q32,3,IF(O32=Q32,1,0)))+IF(AND(R32="",T32=""),0,IF(R32&gt;T32,3,IF(R32=T32,1,0)))+IF(AND(U32="",W32=""),0,IF(U32&gt;W32,3,IF(U32=W32,1,0)))+IF(AND(X32="",Z32=""),0,IF(X32&gt;Z32,3,IF(X32=Z32,1,0)))+IF(AND(AA32="",AC32=""),0,IF(AA32&gt;AC32,3,IF(AA32=AC32,1,0))))</f>
        <v/>
      </c>
      <c r="AE32" s="181" t="str">
        <f>IF(C32="","",H31+I32+L32+O32+R32+U32+X32+AA32)</f>
        <v/>
      </c>
      <c r="AF32" s="182" t="s">
        <v>8</v>
      </c>
      <c r="AG32" s="181" t="str">
        <f>IF(E32="","",F31+K32+N32+Q32+T32+W32+Z32+AC32)</f>
        <v/>
      </c>
      <c r="AH32" s="183" t="str">
        <f>IF(C32="","",RANK(AD32,$AD$31:$AD$37))</f>
        <v/>
      </c>
      <c r="AI32" s="102" t="str">
        <f t="shared" ref="AI32:AI37" si="2">IF(C32="","",AE32-AG32)</f>
        <v/>
      </c>
      <c r="AJ32" s="73" t="s">
        <v>106</v>
      </c>
      <c r="AM32" s="72"/>
      <c r="AN32" s="72"/>
      <c r="AS32" s="44"/>
      <c r="AT32" s="110" t="s">
        <v>165</v>
      </c>
      <c r="AU32" s="52" t="s">
        <v>48</v>
      </c>
      <c r="AV32" s="52" t="s">
        <v>87</v>
      </c>
      <c r="AW32" s="51"/>
      <c r="AX32" s="51"/>
    </row>
    <row r="33" spans="1:50" ht="22.05" customHeight="1">
      <c r="A33" s="164">
        <v>3</v>
      </c>
      <c r="B33" s="234" t="str">
        <f t="shared" si="0"/>
        <v>MO Svitávka</v>
      </c>
      <c r="C33" s="165" t="str">
        <f>IF(K31="","",K31)</f>
        <v/>
      </c>
      <c r="D33" s="166" t="s">
        <v>8</v>
      </c>
      <c r="E33" s="166" t="str">
        <f>IF(I31="","",I31)</f>
        <v/>
      </c>
      <c r="F33" s="165" t="str">
        <f>IF(K32="","",K32)</f>
        <v/>
      </c>
      <c r="G33" s="166" t="s">
        <v>8</v>
      </c>
      <c r="H33" s="166" t="str">
        <f>IF(I32="","",I32)</f>
        <v/>
      </c>
      <c r="I33" s="184"/>
      <c r="J33" s="168" t="s">
        <v>8</v>
      </c>
      <c r="K33" s="168"/>
      <c r="L33" s="173" t="str">
        <f>IF('Pořadí zápasů 7 Teams_Spielplan'!$L7="","",'Pořadí zápasů 7 Teams_Spielplan'!$L7)</f>
        <v/>
      </c>
      <c r="M33" s="174" t="s">
        <v>8</v>
      </c>
      <c r="N33" s="185" t="str">
        <f>IF('Pořadí zápasů 7 Teams_Spielplan'!$N7="","",'Pořadí zápasů 7 Teams_Spielplan'!$N7)</f>
        <v/>
      </c>
      <c r="O33" s="173" t="str">
        <f>IF('Pořadí zápasů 7 Teams_Spielplan'!$L17="","",'Pořadí zápasů 7 Teams_Spielplan'!$L17)</f>
        <v/>
      </c>
      <c r="P33" s="174" t="s">
        <v>8</v>
      </c>
      <c r="Q33" s="171" t="str">
        <f>IF('Pořadí zápasů 7 Teams_Spielplan'!$N17="","",'Pořadí zápasů 7 Teams_Spielplan'!$N17)</f>
        <v/>
      </c>
      <c r="R33" s="169" t="str">
        <f>IF('Pořadí zápasů 7 Teams_Spielplan'!$L25="","",'Pořadí zápasů 7 Teams_Spielplan'!$L25)</f>
        <v/>
      </c>
      <c r="S33" s="174" t="s">
        <v>8</v>
      </c>
      <c r="T33" s="171" t="str">
        <f>IF('Pořadí zápasů 7 Teams_Spielplan'!$N25="","",'Pořadí zápasů 7 Teams_Spielplan'!$N25)</f>
        <v/>
      </c>
      <c r="U33" s="169" t="str">
        <f>IF('Pořadí zápasů 7 Teams_Spielplan'!$L21="","",'Pořadí zápasů 7 Teams_Spielplan'!$L21)</f>
        <v/>
      </c>
      <c r="V33" s="170" t="s">
        <v>8</v>
      </c>
      <c r="W33" s="172" t="str">
        <f>IF('Pořadí zápasů 7 Teams_Spielplan'!$N21="","",'Pořadí zápasů 7 Teams_Spielplan'!$N21)</f>
        <v/>
      </c>
      <c r="X33" s="176"/>
      <c r="Y33" s="177" t="s">
        <v>8</v>
      </c>
      <c r="Z33" s="178"/>
      <c r="AA33" s="176"/>
      <c r="AB33" s="177" t="s">
        <v>8</v>
      </c>
      <c r="AC33" s="179"/>
      <c r="AD33" s="180" t="str">
        <f t="shared" si="1"/>
        <v/>
      </c>
      <c r="AE33" s="181" t="str">
        <f>IF(C33="","",K31+K32+L33+O33+R33+U33+X33+AA33)</f>
        <v/>
      </c>
      <c r="AF33" s="182" t="s">
        <v>8</v>
      </c>
      <c r="AG33" s="181" t="str">
        <f>IF(E32="","",I31+I32+N33+Q33+T33+W33+Z33+AC33)</f>
        <v/>
      </c>
      <c r="AH33" s="183" t="str">
        <f t="shared" ref="AH33:AH37" si="3">IF(C33="","",RANK(AD33,$AD$31:$AD$37))</f>
        <v/>
      </c>
      <c r="AI33" s="102" t="str">
        <f t="shared" si="2"/>
        <v/>
      </c>
      <c r="AJ33" s="73" t="s">
        <v>148</v>
      </c>
      <c r="AM33" s="72"/>
      <c r="AN33" s="72"/>
      <c r="AO33" s="72"/>
      <c r="AP33" s="72"/>
      <c r="AQ33" s="72"/>
      <c r="AS33" s="44"/>
      <c r="AT33" s="52" t="s">
        <v>66</v>
      </c>
      <c r="AU33" s="52" t="s">
        <v>67</v>
      </c>
      <c r="AV33" s="52" t="s">
        <v>97</v>
      </c>
      <c r="AW33" s="51"/>
      <c r="AX33" s="51"/>
    </row>
    <row r="34" spans="1:50" ht="22.05" customHeight="1">
      <c r="A34" s="164">
        <v>4</v>
      </c>
      <c r="B34" s="234" t="str">
        <f t="shared" si="0"/>
        <v>SC Svitávka</v>
      </c>
      <c r="C34" s="165" t="str">
        <f>IF(N31="","",N31)</f>
        <v/>
      </c>
      <c r="D34" s="166" t="s">
        <v>8</v>
      </c>
      <c r="E34" s="166" t="str">
        <f>IF(L31="","",L31)</f>
        <v/>
      </c>
      <c r="F34" s="165" t="str">
        <f>IF(N32="","",N32)</f>
        <v/>
      </c>
      <c r="G34" s="166" t="s">
        <v>8</v>
      </c>
      <c r="H34" s="166" t="str">
        <f>IF(L32="","",L32)</f>
        <v/>
      </c>
      <c r="I34" s="165" t="str">
        <f>IF(N33="","",N33)</f>
        <v/>
      </c>
      <c r="J34" s="166" t="s">
        <v>8</v>
      </c>
      <c r="K34" s="166" t="str">
        <f>IF(L33="","",L33)</f>
        <v/>
      </c>
      <c r="L34" s="184"/>
      <c r="M34" s="168" t="s">
        <v>8</v>
      </c>
      <c r="N34" s="168"/>
      <c r="O34" s="169" t="str">
        <f>IF('Pořadí zápasů 7 Teams_Spielplan'!$L11="","",'Pořadí zápasů 7 Teams_Spielplan'!$L11)</f>
        <v/>
      </c>
      <c r="P34" s="170" t="s">
        <v>8</v>
      </c>
      <c r="Q34" s="171" t="str">
        <f>IF('Pořadí zápasů 7 Teams_Spielplan'!$N11="","",'Pořadí zápasů 7 Teams_Spielplan'!$N11)</f>
        <v/>
      </c>
      <c r="R34" s="173" t="str">
        <f>IF('Pořadí zápasů 7 Teams_Spielplan'!$L19="","",'Pořadí zápasů 7 Teams_Spielplan'!$L19)</f>
        <v/>
      </c>
      <c r="S34" s="174" t="s">
        <v>8</v>
      </c>
      <c r="T34" s="171" t="str">
        <f>IF('Pořadí zápasů 7 Teams_Spielplan'!$N19="","",'Pořadí zápasů 7 Teams_Spielplan'!$N19)</f>
        <v/>
      </c>
      <c r="U34" s="169" t="str">
        <f>IF('Pořadí zápasů 7 Teams_Spielplan'!$L15="","",'Pořadí zápasů 7 Teams_Spielplan'!$L15)</f>
        <v/>
      </c>
      <c r="V34" s="170" t="s">
        <v>8</v>
      </c>
      <c r="W34" s="172" t="str">
        <f>IF('Pořadí zápasů 7 Teams_Spielplan'!$N15="","",'Pořadí zápasů 7 Teams_Spielplan'!$N15)</f>
        <v/>
      </c>
      <c r="X34" s="176"/>
      <c r="Y34" s="177" t="s">
        <v>8</v>
      </c>
      <c r="Z34" s="179"/>
      <c r="AA34" s="176"/>
      <c r="AB34" s="177" t="s">
        <v>8</v>
      </c>
      <c r="AC34" s="179"/>
      <c r="AD34" s="180" t="str">
        <f t="shared" si="1"/>
        <v/>
      </c>
      <c r="AE34" s="181" t="str">
        <f>IF(C34="","",N31+N32+N33+O34+R34+U34+X34+AA34)</f>
        <v/>
      </c>
      <c r="AF34" s="182" t="s">
        <v>8</v>
      </c>
      <c r="AG34" s="181" t="str">
        <f>IF(E34="","",L31+L32+L33+Q34+T34+W34+Z34+AC34)</f>
        <v/>
      </c>
      <c r="AH34" s="183" t="str">
        <f t="shared" si="3"/>
        <v/>
      </c>
      <c r="AI34" s="102" t="str">
        <f t="shared" si="2"/>
        <v/>
      </c>
      <c r="AJ34" s="73"/>
      <c r="AO34" s="72"/>
      <c r="AP34" s="72"/>
      <c r="AQ34" s="72"/>
      <c r="AS34" s="44"/>
      <c r="AT34" s="52" t="s">
        <v>62</v>
      </c>
      <c r="AU34" s="52" t="s">
        <v>61</v>
      </c>
      <c r="AV34" s="52" t="s">
        <v>98</v>
      </c>
      <c r="AW34" s="51"/>
      <c r="AX34" s="51"/>
    </row>
    <row r="35" spans="1:50" ht="22.05" customHeight="1">
      <c r="A35" s="164">
        <v>5</v>
      </c>
      <c r="B35" s="234" t="str">
        <f t="shared" si="0"/>
        <v>Favorit Brno</v>
      </c>
      <c r="C35" s="165" t="str">
        <f>IF(Q31="","",Q31)</f>
        <v/>
      </c>
      <c r="D35" s="166" t="s">
        <v>8</v>
      </c>
      <c r="E35" s="166" t="str">
        <f>IF(O31="","",O31)</f>
        <v/>
      </c>
      <c r="F35" s="165" t="str">
        <f>IF(Q32="","",Q32)</f>
        <v/>
      </c>
      <c r="G35" s="166" t="s">
        <v>8</v>
      </c>
      <c r="H35" s="166" t="str">
        <f>IF(O32="","",O32)</f>
        <v/>
      </c>
      <c r="I35" s="165" t="str">
        <f>IF(Q33="","",Q33)</f>
        <v/>
      </c>
      <c r="J35" s="166" t="s">
        <v>8</v>
      </c>
      <c r="K35" s="166" t="str">
        <f>IF(O33="","",O33)</f>
        <v/>
      </c>
      <c r="L35" s="165" t="str">
        <f>IF(Q34="","",Q34)</f>
        <v/>
      </c>
      <c r="M35" s="166" t="s">
        <v>8</v>
      </c>
      <c r="N35" s="166" t="str">
        <f>IF(O34="","",O34)</f>
        <v/>
      </c>
      <c r="O35" s="184"/>
      <c r="P35" s="168" t="s">
        <v>8</v>
      </c>
      <c r="Q35" s="168"/>
      <c r="R35" s="169" t="str">
        <f>IF('Pořadí zápasů 7 Teams_Spielplan'!$L8="","",'Pořadí zápasů 7 Teams_Spielplan'!$L8)</f>
        <v/>
      </c>
      <c r="S35" s="174" t="s">
        <v>8</v>
      </c>
      <c r="T35" s="171" t="str">
        <f>IF('Pořadí zápasů 7 Teams_Spielplan'!$N8="","",'Pořadí zápasů 7 Teams_Spielplan'!$N8)</f>
        <v/>
      </c>
      <c r="U35" s="169" t="str">
        <f>IF('Pořadí zápasů 7 Teams_Spielplan'!$L24="","",'Pořadí zápasů 7 Teams_Spielplan'!$L24)</f>
        <v/>
      </c>
      <c r="V35" s="174" t="s">
        <v>8</v>
      </c>
      <c r="W35" s="171" t="str">
        <f>IF('Pořadí zápasů 7 Teams_Spielplan'!$N24="","",'Pořadí zápasů 7 Teams_Spielplan'!$N24)</f>
        <v/>
      </c>
      <c r="X35" s="186"/>
      <c r="Y35" s="177" t="s">
        <v>8</v>
      </c>
      <c r="Z35" s="187"/>
      <c r="AA35" s="186"/>
      <c r="AB35" s="177" t="s">
        <v>8</v>
      </c>
      <c r="AC35" s="179"/>
      <c r="AD35" s="180" t="str">
        <f t="shared" si="1"/>
        <v/>
      </c>
      <c r="AE35" s="181" t="str">
        <f>IF(C35="","",Q31+Q32+Q33+Q34+R35+U35+X35+AA35)</f>
        <v/>
      </c>
      <c r="AF35" s="182" t="s">
        <v>8</v>
      </c>
      <c r="AG35" s="181" t="str">
        <f>IF(E35="","",O31+O32+O33+O34+T35+W35+Z35+AC35)</f>
        <v/>
      </c>
      <c r="AH35" s="183" t="str">
        <f t="shared" si="3"/>
        <v/>
      </c>
      <c r="AI35" s="102" t="str">
        <f t="shared" si="2"/>
        <v/>
      </c>
      <c r="AJ35" s="93" t="s">
        <v>176</v>
      </c>
      <c r="AO35" s="72"/>
      <c r="AP35" s="73"/>
      <c r="AQ35" s="73"/>
      <c r="AR35" s="73"/>
      <c r="AS35" s="44"/>
      <c r="AT35" s="65"/>
      <c r="AU35" s="65"/>
      <c r="AV35" s="68"/>
      <c r="AW35" s="51"/>
      <c r="AX35" s="51"/>
    </row>
    <row r="36" spans="1:50" s="15" customFormat="1" ht="22.05" customHeight="1">
      <c r="A36" s="164">
        <v>6</v>
      </c>
      <c r="B36" s="234" t="str">
        <f t="shared" si="0"/>
        <v>Sokol Šitbořice</v>
      </c>
      <c r="C36" s="165" t="str">
        <f>IF(T31="","",T31)</f>
        <v/>
      </c>
      <c r="D36" s="166" t="s">
        <v>8</v>
      </c>
      <c r="E36" s="166" t="str">
        <f>IF(R31="","",R31)</f>
        <v/>
      </c>
      <c r="F36" s="165" t="str">
        <f>IF(T32="","",T32)</f>
        <v/>
      </c>
      <c r="G36" s="166" t="s">
        <v>8</v>
      </c>
      <c r="H36" s="166" t="str">
        <f>IF(R32="","",R32)</f>
        <v/>
      </c>
      <c r="I36" s="165" t="str">
        <f>IF(T33="","",T33)</f>
        <v/>
      </c>
      <c r="J36" s="166" t="s">
        <v>8</v>
      </c>
      <c r="K36" s="166" t="str">
        <f>IF(R33="","",R33)</f>
        <v/>
      </c>
      <c r="L36" s="165" t="str">
        <f>IF(T34="","",T34)</f>
        <v/>
      </c>
      <c r="M36" s="166" t="s">
        <v>8</v>
      </c>
      <c r="N36" s="166" t="str">
        <f>IF(R34="","",R34)</f>
        <v/>
      </c>
      <c r="O36" s="165" t="str">
        <f>IF(T35="","",T35)</f>
        <v/>
      </c>
      <c r="P36" s="166" t="s">
        <v>8</v>
      </c>
      <c r="Q36" s="166" t="str">
        <f>IF(R35="","",R35)</f>
        <v/>
      </c>
      <c r="R36" s="188"/>
      <c r="S36" s="168" t="s">
        <v>8</v>
      </c>
      <c r="T36" s="189"/>
      <c r="U36" s="169" t="str">
        <f>IF('Pořadí zápasů 7 Teams_Spielplan'!$L12="","",'Pořadí zápasů 7 Teams_Spielplan'!$L12)</f>
        <v/>
      </c>
      <c r="V36" s="170" t="s">
        <v>8</v>
      </c>
      <c r="W36" s="171" t="str">
        <f>IF('Pořadí zápasů 7 Teams_Spielplan'!$N12="","",'Pořadí zápasů 7 Teams_Spielplan'!$N12)</f>
        <v/>
      </c>
      <c r="X36" s="176"/>
      <c r="Y36" s="177" t="s">
        <v>8</v>
      </c>
      <c r="Z36" s="179"/>
      <c r="AA36" s="176"/>
      <c r="AB36" s="177" t="s">
        <v>8</v>
      </c>
      <c r="AC36" s="179"/>
      <c r="AD36" s="180" t="str">
        <f t="shared" si="1"/>
        <v/>
      </c>
      <c r="AE36" s="181" t="str">
        <f>IF(C36="","",T31+T32+T33+T34+T35+U36+X36+AA36)</f>
        <v/>
      </c>
      <c r="AF36" s="182" t="s">
        <v>8</v>
      </c>
      <c r="AG36" s="181" t="str">
        <f>IF(E36="","",R31+R32+R33+R34+R35+W36+Z36+AC36)</f>
        <v/>
      </c>
      <c r="AH36" s="183" t="str">
        <f t="shared" si="3"/>
        <v/>
      </c>
      <c r="AI36" s="102" t="str">
        <f t="shared" si="2"/>
        <v/>
      </c>
      <c r="AJ36" s="120" t="s">
        <v>175</v>
      </c>
      <c r="AK36"/>
      <c r="AL36"/>
      <c r="AM36"/>
      <c r="AN36"/>
      <c r="AO36" s="72"/>
      <c r="AP36" s="73"/>
      <c r="AQ36" s="73"/>
      <c r="AR36" s="73"/>
      <c r="AS36" s="55"/>
      <c r="AT36" s="65"/>
      <c r="AU36" s="65"/>
      <c r="AV36" s="68"/>
      <c r="AW36" s="66"/>
      <c r="AX36" s="66"/>
    </row>
    <row r="37" spans="1:50" s="15" customFormat="1" ht="22.05" customHeight="1">
      <c r="A37" s="164">
        <v>7</v>
      </c>
      <c r="B37" s="234" t="str">
        <f t="shared" si="0"/>
        <v>Prima Nezamyslice</v>
      </c>
      <c r="C37" s="165" t="str">
        <f>IF(W31="","",W31)</f>
        <v/>
      </c>
      <c r="D37" s="166" t="s">
        <v>8</v>
      </c>
      <c r="E37" s="166" t="str">
        <f>IF(U31="","",U31)</f>
        <v/>
      </c>
      <c r="F37" s="165" t="str">
        <f>IF(W32="","",W32)</f>
        <v/>
      </c>
      <c r="G37" s="166" t="s">
        <v>8</v>
      </c>
      <c r="H37" s="166" t="str">
        <f>IF(U32="","",U32)</f>
        <v/>
      </c>
      <c r="I37" s="165" t="str">
        <f>IF(W33="","",W33)</f>
        <v/>
      </c>
      <c r="J37" s="166" t="s">
        <v>8</v>
      </c>
      <c r="K37" s="166" t="str">
        <f>IF(U33="","",U33)</f>
        <v/>
      </c>
      <c r="L37" s="165" t="str">
        <f>IF(W34="","",W34)</f>
        <v/>
      </c>
      <c r="M37" s="166" t="s">
        <v>8</v>
      </c>
      <c r="N37" s="166" t="str">
        <f>IF(U34="","",U34)</f>
        <v/>
      </c>
      <c r="O37" s="165" t="str">
        <f>IF(W35="","",W35)</f>
        <v/>
      </c>
      <c r="P37" s="166" t="s">
        <v>8</v>
      </c>
      <c r="Q37" s="166" t="str">
        <f>IF(U35="","",U35)</f>
        <v/>
      </c>
      <c r="R37" s="165" t="str">
        <f>IF(W36="","",W36)</f>
        <v/>
      </c>
      <c r="S37" s="166" t="s">
        <v>8</v>
      </c>
      <c r="T37" s="166" t="str">
        <f>IF(U36="","",U36)</f>
        <v/>
      </c>
      <c r="U37" s="188"/>
      <c r="V37" s="168" t="s">
        <v>8</v>
      </c>
      <c r="W37" s="189"/>
      <c r="X37" s="176"/>
      <c r="Y37" s="177" t="s">
        <v>8</v>
      </c>
      <c r="Z37" s="178"/>
      <c r="AA37" s="176"/>
      <c r="AB37" s="177" t="s">
        <v>8</v>
      </c>
      <c r="AC37" s="187"/>
      <c r="AD37" s="180" t="str">
        <f t="shared" si="1"/>
        <v/>
      </c>
      <c r="AE37" s="181" t="str">
        <f>IF(C37="","",W31+W32+W33+W34+W35+W36+X37+AA37)</f>
        <v/>
      </c>
      <c r="AF37" s="182" t="s">
        <v>8</v>
      </c>
      <c r="AG37" s="181" t="str">
        <f>IF(E37="","",U31+U32+U33+U34+U35+U36+Z37+AC37)</f>
        <v/>
      </c>
      <c r="AH37" s="183" t="str">
        <f t="shared" si="3"/>
        <v/>
      </c>
      <c r="AI37" s="102" t="str">
        <f t="shared" si="2"/>
        <v/>
      </c>
      <c r="AJ37" s="120" t="s">
        <v>147</v>
      </c>
      <c r="AK37"/>
      <c r="AL37"/>
      <c r="AM37"/>
      <c r="AN37"/>
      <c r="AO37" s="72"/>
      <c r="AP37" s="73"/>
      <c r="AQ37" s="73"/>
      <c r="AR37" s="16"/>
      <c r="AS37" s="55"/>
      <c r="AT37" s="65"/>
      <c r="AU37" s="65"/>
      <c r="AV37" s="68"/>
      <c r="AW37" s="66"/>
      <c r="AX37" s="66"/>
    </row>
    <row r="38" spans="1:50" ht="9.75" customHeight="1">
      <c r="AS38" s="44"/>
      <c r="AT38" s="52" t="s">
        <v>160</v>
      </c>
      <c r="AU38" s="52" t="s">
        <v>58</v>
      </c>
      <c r="AV38" s="52" t="s">
        <v>99</v>
      </c>
      <c r="AW38" s="51"/>
      <c r="AX38" s="51"/>
    </row>
    <row r="39" spans="1:50" ht="20.100000000000001" customHeight="1" thickBot="1">
      <c r="K39" s="13"/>
      <c r="X39" s="17"/>
      <c r="Y39" s="69"/>
      <c r="Z39" s="69"/>
      <c r="AA39" s="69"/>
      <c r="AB39" s="69"/>
      <c r="AC39" s="70" t="str">
        <f>INDEX(AT28:AV28,$AJ$4)</f>
        <v>Kontrola:</v>
      </c>
      <c r="AD39" s="19" t="str">
        <f>IF(AE31="","",SUM(AD31:AD37))</f>
        <v/>
      </c>
      <c r="AE39" s="103" t="str">
        <f>IF(AE31="","",SUM(AE31:AE38))</f>
        <v/>
      </c>
      <c r="AF39" s="18" t="s">
        <v>8</v>
      </c>
      <c r="AG39" s="21" t="str">
        <f>IF(AG31="","",SUM(AG31:AG38))</f>
        <v/>
      </c>
      <c r="AI39" s="20" t="str">
        <f>IF(AI31="","",SUM(AI31:AI38))</f>
        <v/>
      </c>
      <c r="AJ39" s="53"/>
      <c r="AK39" s="53"/>
      <c r="AS39" s="44"/>
      <c r="AT39" s="52" t="s">
        <v>73</v>
      </c>
      <c r="AU39" s="52" t="s">
        <v>59</v>
      </c>
      <c r="AV39" s="52" t="s">
        <v>100</v>
      </c>
      <c r="AW39" s="51"/>
      <c r="AX39" s="51"/>
    </row>
    <row r="40" spans="1:50" ht="20.100000000000001" customHeight="1" thickBot="1">
      <c r="A40" s="270" t="str">
        <f>INDEX(AT27:AV27,$AJ$4)</f>
        <v>Různé</v>
      </c>
      <c r="B40" s="271"/>
      <c r="C40" s="271"/>
      <c r="D40" s="271"/>
      <c r="E40" s="271"/>
      <c r="F40" s="271"/>
      <c r="G40" s="271"/>
      <c r="H40" s="272"/>
      <c r="I40" s="77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S40" s="44"/>
      <c r="AT40" s="52" t="s">
        <v>74</v>
      </c>
      <c r="AU40" s="52" t="s">
        <v>60</v>
      </c>
      <c r="AV40" s="52" t="s">
        <v>101</v>
      </c>
      <c r="AW40" s="51"/>
      <c r="AX40" s="51"/>
    </row>
    <row r="41" spans="1:50" ht="20.100000000000001" customHeight="1">
      <c r="A41" s="190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S41" s="44"/>
      <c r="AT41" s="52" t="s">
        <v>57</v>
      </c>
      <c r="AU41" s="52" t="s">
        <v>56</v>
      </c>
      <c r="AV41" s="52" t="s">
        <v>56</v>
      </c>
      <c r="AW41" s="51"/>
      <c r="AX41" s="51"/>
    </row>
    <row r="42" spans="1:50" ht="20.100000000000001" customHeight="1">
      <c r="A42" s="192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T42" s="51"/>
      <c r="AU42" s="51"/>
      <c r="AV42" s="51"/>
      <c r="AW42" s="51"/>
      <c r="AX42" s="51"/>
    </row>
    <row r="43" spans="1:50" ht="20.100000000000001" customHeight="1">
      <c r="A43" s="192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T43" s="51"/>
      <c r="AU43" s="51"/>
      <c r="AV43" s="51"/>
      <c r="AW43" s="51"/>
      <c r="AX43" s="51"/>
    </row>
    <row r="44" spans="1:50" ht="20.100000000000001" customHeight="1">
      <c r="A44" s="192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T44" s="51"/>
      <c r="AU44" s="51"/>
      <c r="AV44" s="51"/>
      <c r="AW44" s="51"/>
      <c r="AX44" s="51"/>
    </row>
    <row r="45" spans="1:50" ht="20.100000000000001" customHeight="1">
      <c r="A45" s="192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T45" s="51"/>
      <c r="AU45" s="51"/>
      <c r="AV45" s="51"/>
      <c r="AW45" s="51"/>
      <c r="AX45" s="51"/>
    </row>
    <row r="46" spans="1:50" ht="20.100000000000001" customHeight="1">
      <c r="A46" s="192"/>
      <c r="B46" s="262" t="s">
        <v>217</v>
      </c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</row>
    <row r="47" spans="1:50" ht="13.8">
      <c r="B47" s="6" t="str">
        <f>INDEX(AT29:AV29,$AJ$4)</f>
        <v>Za pořadatele:</v>
      </c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Q47" s="6" t="str">
        <f>INDEX(AT22:AV22,$AJ$4)</f>
        <v>Rozhodčí:</v>
      </c>
    </row>
    <row r="51" spans="1:47" ht="13.8" thickBot="1">
      <c r="AL51" s="73"/>
    </row>
    <row r="52" spans="1:47" ht="24" customHeight="1" thickBot="1">
      <c r="A52" s="270" t="str">
        <f>INDEX(AT30:AV30,$AJ$4)</f>
        <v>Konečné pořadí</v>
      </c>
      <c r="B52" s="276"/>
      <c r="C52" s="276"/>
      <c r="D52" s="276"/>
      <c r="E52" s="276"/>
      <c r="F52" s="276"/>
      <c r="G52" s="276"/>
      <c r="H52" s="277"/>
      <c r="AE52"/>
      <c r="AG52"/>
    </row>
    <row r="53" spans="1:47" ht="10.5" customHeight="1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AE53"/>
      <c r="AG53"/>
    </row>
    <row r="54" spans="1:47" ht="14.25" customHeight="1">
      <c r="A54" s="41" t="str">
        <f>INDEX(AT31:AV31,$AJ$4)</f>
        <v>Poř</v>
      </c>
      <c r="B54" s="101" t="str">
        <f>INDEX(AT32:AV32,$AJ$4)</f>
        <v>Těl. spolek - klub</v>
      </c>
      <c r="C54" s="279" t="str">
        <f>INDEX(AT33:AV33,$AJ$4)</f>
        <v>Jména</v>
      </c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1"/>
      <c r="R54" s="275" t="str">
        <f>INDEX(AT34:AV34,$AJ$4)</f>
        <v>Počet</v>
      </c>
      <c r="S54" s="275"/>
      <c r="T54" s="275"/>
      <c r="U54" s="275" t="str">
        <f>INDEX(AT38:AV38,$AJ$4)</f>
        <v>Výhry</v>
      </c>
      <c r="V54" s="275"/>
      <c r="W54" s="275"/>
      <c r="X54" s="275" t="str">
        <f>INDEX(AT39:AV39,$AJ$4)</f>
        <v>Rem.</v>
      </c>
      <c r="Y54" s="275"/>
      <c r="Z54" s="275"/>
      <c r="AA54" s="275" t="str">
        <f>INDEX(AT40:AV40,$AJ$4)</f>
        <v>Prohry</v>
      </c>
      <c r="AB54" s="275"/>
      <c r="AC54" s="275"/>
      <c r="AD54" s="47" t="str">
        <f>INDEX(AT24:AV24,$AJ$4)</f>
        <v>Body</v>
      </c>
      <c r="AE54" s="38" t="str">
        <f>INDEX(AT25:AV25,$AJ$4)</f>
        <v>Branky</v>
      </c>
      <c r="AF54" s="39"/>
      <c r="AG54" s="38"/>
      <c r="AH54" s="40" t="str">
        <f>INDEX(AT41:AV41,$AJ$4)</f>
        <v>Rozdíl</v>
      </c>
      <c r="AJ54" s="73" t="s">
        <v>157</v>
      </c>
      <c r="AL54" s="96"/>
      <c r="AM54" s="96"/>
      <c r="AN54" s="96"/>
      <c r="AO54" s="100" t="s">
        <v>153</v>
      </c>
      <c r="AP54" s="100" t="s">
        <v>154</v>
      </c>
      <c r="AQ54" s="100" t="s">
        <v>155</v>
      </c>
      <c r="AR54" s="100" t="s">
        <v>156</v>
      </c>
      <c r="AS54" s="96" t="s">
        <v>158</v>
      </c>
      <c r="AT54" s="96" t="s">
        <v>159</v>
      </c>
      <c r="AU54" s="96" t="s">
        <v>159</v>
      </c>
    </row>
    <row r="55" spans="1:47" ht="18" customHeight="1">
      <c r="A55" s="79" t="s">
        <v>10</v>
      </c>
      <c r="B55" s="194" t="str">
        <f>IF(AK55="","",VLOOKUP(1,$AK$55:$AU$61,2,0))</f>
        <v/>
      </c>
      <c r="C55" s="195" t="str">
        <f>IF(AK55="","",VLOOKUP(1,$AK$55:$AU$61,3,0))</f>
        <v/>
      </c>
      <c r="D55" s="196"/>
      <c r="E55" s="196"/>
      <c r="F55" s="196"/>
      <c r="G55" s="196"/>
      <c r="H55" s="196"/>
      <c r="I55" s="196"/>
      <c r="J55" s="196" t="s">
        <v>149</v>
      </c>
      <c r="K55" s="196" t="str">
        <f>IF(AK55="","",VLOOKUP(1,$AK$55:$AU$61,4,0))</f>
        <v/>
      </c>
      <c r="L55" s="196"/>
      <c r="M55" s="196"/>
      <c r="N55" s="196"/>
      <c r="O55" s="196"/>
      <c r="P55" s="196"/>
      <c r="Q55" s="197"/>
      <c r="R55" s="274" t="str">
        <f>IF(AK55="","",VLOOKUP(1,$AK$55:$AU$61,5,0))</f>
        <v/>
      </c>
      <c r="S55" s="274"/>
      <c r="T55" s="274"/>
      <c r="U55" s="274" t="str">
        <f>IF(AK55="","",VLOOKUP(1,$AK$55:$AU$61,6,0))</f>
        <v/>
      </c>
      <c r="V55" s="274"/>
      <c r="W55" s="274"/>
      <c r="X55" s="274" t="str">
        <f>IF(AK55="","",VLOOKUP(1,$AK$55:$AU$61,7,0))</f>
        <v/>
      </c>
      <c r="Y55" s="274"/>
      <c r="Z55" s="274"/>
      <c r="AA55" s="274" t="str">
        <f>IF(AK55="","",VLOOKUP(1,$AK$55:$AU$61,8,0))</f>
        <v/>
      </c>
      <c r="AB55" s="274"/>
      <c r="AC55" s="274"/>
      <c r="AD55" s="198" t="str">
        <f>IF(AK55="","",VLOOKUP(1,$AK$55:$AU$61,9,0))</f>
        <v/>
      </c>
      <c r="AE55" s="199" t="str">
        <f>IF(AK55="","",VLOOKUP(1,$AK$55:$AU$61,10,0))</f>
        <v/>
      </c>
      <c r="AF55" s="199" t="s">
        <v>8</v>
      </c>
      <c r="AG55" s="199" t="str">
        <f>IF(AK55="","",VLOOKUP(1,$AK$55:$AU$61,11,0))</f>
        <v/>
      </c>
      <c r="AH55" s="200" t="str">
        <f t="shared" ref="AH55:AH61" si="4">IF(AK55="","",AE55-AG55)</f>
        <v/>
      </c>
      <c r="AI55" s="10"/>
      <c r="AJ55" s="10"/>
      <c r="AK55" s="92" t="str">
        <f>AH31</f>
        <v/>
      </c>
      <c r="AL55" t="str">
        <f>B12</f>
        <v>Sokol Zlín-Prštné 1</v>
      </c>
      <c r="AM55" s="94" t="str">
        <f>F12</f>
        <v>Adam Radek</v>
      </c>
      <c r="AN55" t="str">
        <f>W12</f>
        <v>Horák Tomáš</v>
      </c>
      <c r="AO55">
        <f>'Pořadí zápasů 7 Teams_Spielplan'!S6</f>
        <v>6</v>
      </c>
      <c r="AP55">
        <f>'Pořadí zápasů 7 Teams_Spielplan'!U6</f>
        <v>0</v>
      </c>
      <c r="AQ55">
        <f>'Pořadí zápasů 7 Teams_Spielplan'!V6</f>
        <v>6</v>
      </c>
      <c r="AR55">
        <f>'Pořadí zápasů 7 Teams_Spielplan'!W6</f>
        <v>0</v>
      </c>
      <c r="AS55" s="94" t="str">
        <f t="shared" ref="AS55:AT61" si="5">AD31</f>
        <v/>
      </c>
      <c r="AT55" s="95" t="str">
        <f t="shared" si="5"/>
        <v/>
      </c>
      <c r="AU55" s="95" t="str">
        <f t="shared" ref="AU55:AU61" si="6">AG31</f>
        <v/>
      </c>
    </row>
    <row r="56" spans="1:47" ht="18" customHeight="1">
      <c r="A56" s="79" t="s">
        <v>11</v>
      </c>
      <c r="B56" s="194" t="str">
        <f>IF(AK56="","",VLOOKUP(2,$AK$55:$AU$61,2,0))</f>
        <v/>
      </c>
      <c r="C56" s="195" t="str">
        <f>IF(AK56="","",VLOOKUP(2,$AK$55:$AU$61,3,0))</f>
        <v/>
      </c>
      <c r="D56" s="196"/>
      <c r="E56" s="196"/>
      <c r="F56" s="196"/>
      <c r="G56" s="196"/>
      <c r="H56" s="196"/>
      <c r="I56" s="196"/>
      <c r="J56" s="196" t="s">
        <v>149</v>
      </c>
      <c r="K56" s="196" t="str">
        <f>IF(AK56="","",VLOOKUP(2,$AK$55:$AU$61,4,0))</f>
        <v/>
      </c>
      <c r="L56" s="196"/>
      <c r="M56" s="196"/>
      <c r="N56" s="196"/>
      <c r="O56" s="196"/>
      <c r="P56" s="196"/>
      <c r="Q56" s="197"/>
      <c r="R56" s="274" t="str">
        <f>IF(AK56="","",VLOOKUP(2,$AK$55:$AU$61,5,0))</f>
        <v/>
      </c>
      <c r="S56" s="274"/>
      <c r="T56" s="274"/>
      <c r="U56" s="274" t="str">
        <f>IF(AK56="","",VLOOKUP(2,$AK$55:$AU$61,6,0))</f>
        <v/>
      </c>
      <c r="V56" s="274"/>
      <c r="W56" s="274"/>
      <c r="X56" s="274" t="str">
        <f>IF(AK56="","",VLOOKUP(2,$AK$55:$AU$61,7,0))</f>
        <v/>
      </c>
      <c r="Y56" s="274"/>
      <c r="Z56" s="274"/>
      <c r="AA56" s="274" t="str">
        <f>IF(AK56="","",VLOOKUP(2,$AK$55:$AU$61,8,0))</f>
        <v/>
      </c>
      <c r="AB56" s="274"/>
      <c r="AC56" s="274"/>
      <c r="AD56" s="198" t="str">
        <f>IF(AK56="","",VLOOKUP(2,$AK$55:$AU$61,9,0))</f>
        <v/>
      </c>
      <c r="AE56" s="199" t="str">
        <f>IF(AK56="","",VLOOKUP(2,$AK$55:$AU$61,10,0))</f>
        <v/>
      </c>
      <c r="AF56" s="199" t="s">
        <v>8</v>
      </c>
      <c r="AG56" s="199" t="str">
        <f>IF(AK56="","",VLOOKUP(2,$AK$55:$AU$61,11,0))</f>
        <v/>
      </c>
      <c r="AH56" s="200" t="str">
        <f t="shared" si="4"/>
        <v/>
      </c>
      <c r="AI56" s="10"/>
      <c r="AJ56" s="121" t="s">
        <v>177</v>
      </c>
      <c r="AK56" s="92" t="str">
        <f t="shared" ref="AK56:AK61" si="7">AH32</f>
        <v/>
      </c>
      <c r="AL56" t="str">
        <f t="shared" ref="AL56:AL61" si="8">B13</f>
        <v>Sokol Zlín-Prštné 2</v>
      </c>
      <c r="AM56" s="94" t="str">
        <f t="shared" ref="AM56:AM61" si="9">F13</f>
        <v>Baxa Jáchym</v>
      </c>
      <c r="AN56" t="str">
        <f t="shared" ref="AN56:AN61" si="10">W13</f>
        <v>Baxa Vojtěch</v>
      </c>
      <c r="AO56">
        <f>'Pořadí zápasů 7 Teams_Spielplan'!S7</f>
        <v>6</v>
      </c>
      <c r="AP56">
        <f>'Pořadí zápasů 7 Teams_Spielplan'!U7</f>
        <v>0</v>
      </c>
      <c r="AQ56">
        <f>'Pořadí zápasů 7 Teams_Spielplan'!V7</f>
        <v>6</v>
      </c>
      <c r="AR56">
        <f>'Pořadí zápasů 7 Teams_Spielplan'!W7</f>
        <v>0</v>
      </c>
      <c r="AS56" s="94" t="str">
        <f t="shared" si="5"/>
        <v/>
      </c>
      <c r="AT56" s="95" t="str">
        <f t="shared" si="5"/>
        <v/>
      </c>
      <c r="AU56" s="95" t="str">
        <f t="shared" si="6"/>
        <v/>
      </c>
    </row>
    <row r="57" spans="1:47" ht="18" customHeight="1">
      <c r="A57" s="79" t="s">
        <v>15</v>
      </c>
      <c r="B57" s="194" t="str">
        <f>IF(AK57="","",VLOOKUP(3,$AK$55:$AU$61,2,0))</f>
        <v/>
      </c>
      <c r="C57" s="195" t="str">
        <f>IF(AK57="","",VLOOKUP(3,$AK$55:$AU$61,3,0))</f>
        <v/>
      </c>
      <c r="D57" s="196"/>
      <c r="E57" s="196"/>
      <c r="F57" s="196"/>
      <c r="G57" s="196"/>
      <c r="H57" s="196"/>
      <c r="I57" s="196"/>
      <c r="J57" s="196" t="s">
        <v>149</v>
      </c>
      <c r="K57" s="196" t="str">
        <f>IF(AK57="","",VLOOKUP(3,$AK$55:$AU$61,4,0))</f>
        <v/>
      </c>
      <c r="L57" s="196"/>
      <c r="M57" s="196"/>
      <c r="N57" s="196"/>
      <c r="O57" s="196"/>
      <c r="P57" s="196"/>
      <c r="Q57" s="197"/>
      <c r="R57" s="274" t="str">
        <f>IF(AK57="","",VLOOKUP(3,$AK$55:$AU$61,5,0))</f>
        <v/>
      </c>
      <c r="S57" s="274"/>
      <c r="T57" s="274"/>
      <c r="U57" s="274" t="str">
        <f>IF(AK57="","",VLOOKUP(3,$AK$55:$AU$61,6,0))</f>
        <v/>
      </c>
      <c r="V57" s="274"/>
      <c r="W57" s="274"/>
      <c r="X57" s="274" t="str">
        <f>IF(AK57="","",VLOOKUP(3,$AK$55:$AU$61,7,0))</f>
        <v/>
      </c>
      <c r="Y57" s="274"/>
      <c r="Z57" s="274"/>
      <c r="AA57" s="274" t="str">
        <f>IF(AK57="","",VLOOKUP(3,$AK$55:$AU$61,8,0))</f>
        <v/>
      </c>
      <c r="AB57" s="274"/>
      <c r="AC57" s="274"/>
      <c r="AD57" s="198" t="str">
        <f>IF(AK57="","",VLOOKUP(3,$AK$55:$AU$61,9,0))</f>
        <v/>
      </c>
      <c r="AE57" s="199" t="str">
        <f>IF(AK57="","",VLOOKUP(3,$AK$55:$AU$61,10,0))</f>
        <v/>
      </c>
      <c r="AF57" s="199" t="s">
        <v>8</v>
      </c>
      <c r="AG57" s="199" t="str">
        <f>IF(AK57="","",VLOOKUP(3,$AK$55:$AU$61,11,0))</f>
        <v/>
      </c>
      <c r="AH57" s="200" t="str">
        <f t="shared" si="4"/>
        <v/>
      </c>
      <c r="AI57" s="10"/>
      <c r="AJ57" s="121" t="s">
        <v>179</v>
      </c>
      <c r="AK57" s="92" t="str">
        <f t="shared" si="7"/>
        <v/>
      </c>
      <c r="AL57" t="str">
        <f t="shared" si="8"/>
        <v>MO Svitávka</v>
      </c>
      <c r="AM57" s="94" t="str">
        <f t="shared" si="9"/>
        <v>Hrdlička Jiří ml.</v>
      </c>
      <c r="AN57" t="str">
        <f t="shared" si="10"/>
        <v>Staněk Roman</v>
      </c>
      <c r="AO57">
        <f>'Pořadí zápasů 7 Teams_Spielplan'!S8</f>
        <v>6</v>
      </c>
      <c r="AP57">
        <f>'Pořadí zápasů 7 Teams_Spielplan'!U8</f>
        <v>0</v>
      </c>
      <c r="AQ57">
        <f>'Pořadí zápasů 7 Teams_Spielplan'!V8</f>
        <v>6</v>
      </c>
      <c r="AR57">
        <f>'Pořadí zápasů 7 Teams_Spielplan'!W8</f>
        <v>0</v>
      </c>
      <c r="AS57" s="94" t="str">
        <f t="shared" si="5"/>
        <v/>
      </c>
      <c r="AT57" s="95" t="str">
        <f t="shared" si="5"/>
        <v/>
      </c>
      <c r="AU57" s="95" t="str">
        <f t="shared" si="6"/>
        <v/>
      </c>
    </row>
    <row r="58" spans="1:47" ht="18" customHeight="1">
      <c r="A58" s="79" t="s">
        <v>14</v>
      </c>
      <c r="B58" s="194" t="str">
        <f>IF(AK58="","",VLOOKUP(4,$AK$55:$AU$61,2,0))</f>
        <v/>
      </c>
      <c r="C58" s="195" t="str">
        <f>IF(AK58="","",VLOOKUP(4,$AK$55:$AU$61,3,0))</f>
        <v/>
      </c>
      <c r="D58" s="196"/>
      <c r="E58" s="196"/>
      <c r="F58" s="196"/>
      <c r="G58" s="196"/>
      <c r="H58" s="196"/>
      <c r="I58" s="196"/>
      <c r="J58" s="196" t="s">
        <v>149</v>
      </c>
      <c r="K58" s="196" t="str">
        <f>IF(AK58="","",VLOOKUP(4,$AK$55:$AU$61,4,0))</f>
        <v/>
      </c>
      <c r="L58" s="196"/>
      <c r="M58" s="196"/>
      <c r="N58" s="196"/>
      <c r="O58" s="196"/>
      <c r="P58" s="196"/>
      <c r="Q58" s="197"/>
      <c r="R58" s="274" t="str">
        <f>IF(AK58="","",VLOOKUP(4,$AK$55:$AU$61,5,0))</f>
        <v/>
      </c>
      <c r="S58" s="274"/>
      <c r="T58" s="274"/>
      <c r="U58" s="274" t="str">
        <f>IF(AK58="","",VLOOKUP(4,$AK$55:$AU$61,6,0))</f>
        <v/>
      </c>
      <c r="V58" s="274"/>
      <c r="W58" s="274"/>
      <c r="X58" s="274" t="str">
        <f>IF(AK58="","",VLOOKUP(4,$AK$55:$AU$61,7,0))</f>
        <v/>
      </c>
      <c r="Y58" s="274"/>
      <c r="Z58" s="274"/>
      <c r="AA58" s="274" t="str">
        <f>IF(AK58="","",VLOOKUP(4,$AK$55:$AU$61,8,0))</f>
        <v/>
      </c>
      <c r="AB58" s="274"/>
      <c r="AC58" s="274"/>
      <c r="AD58" s="198" t="str">
        <f>IF(AK58="","",VLOOKUP(4,$AK$55:$AU$61,9,0))</f>
        <v/>
      </c>
      <c r="AE58" s="199" t="str">
        <f>IF(AK58="","",VLOOKUP(4,$AK$55:$AU$61,10,0))</f>
        <v/>
      </c>
      <c r="AF58" s="199" t="s">
        <v>8</v>
      </c>
      <c r="AG58" s="199" t="str">
        <f>IF(AK58="","",VLOOKUP(4,$AK$55:$AU$61,11,0))</f>
        <v/>
      </c>
      <c r="AH58" s="200" t="str">
        <f t="shared" si="4"/>
        <v/>
      </c>
      <c r="AI58" s="10"/>
      <c r="AJ58" s="10"/>
      <c r="AK58" s="92" t="str">
        <f t="shared" si="7"/>
        <v/>
      </c>
      <c r="AL58" t="str">
        <f t="shared" si="8"/>
        <v>SC Svitávka</v>
      </c>
      <c r="AM58" s="94" t="str">
        <f t="shared" si="9"/>
        <v>Hrdlička Jiří</v>
      </c>
      <c r="AN58" t="str">
        <f t="shared" si="10"/>
        <v>Kripner Jan</v>
      </c>
      <c r="AO58">
        <f>'Pořadí zápasů 7 Teams_Spielplan'!S9</f>
        <v>6</v>
      </c>
      <c r="AP58">
        <f>'Pořadí zápasů 7 Teams_Spielplan'!U9</f>
        <v>0</v>
      </c>
      <c r="AQ58">
        <f>'Pořadí zápasů 7 Teams_Spielplan'!V9</f>
        <v>6</v>
      </c>
      <c r="AR58">
        <f>'Pořadí zápasů 7 Teams_Spielplan'!W9</f>
        <v>0</v>
      </c>
      <c r="AS58" s="94" t="str">
        <f t="shared" si="5"/>
        <v/>
      </c>
      <c r="AT58" s="95" t="str">
        <f t="shared" si="5"/>
        <v/>
      </c>
      <c r="AU58" s="95" t="str">
        <f t="shared" si="6"/>
        <v/>
      </c>
    </row>
    <row r="59" spans="1:47" ht="18" customHeight="1">
      <c r="A59" s="79" t="s">
        <v>12</v>
      </c>
      <c r="B59" s="201" t="str">
        <f>IF(AK59="","",VLOOKUP(5,$AK$55:$AU$61,2,0))</f>
        <v/>
      </c>
      <c r="C59" s="195" t="str">
        <f>IF(AK59="","",VLOOKUP(5,$AK$55:$AU$61,3,0))</f>
        <v/>
      </c>
      <c r="D59" s="202"/>
      <c r="E59" s="202"/>
      <c r="F59" s="202"/>
      <c r="G59" s="202"/>
      <c r="H59" s="202"/>
      <c r="I59" s="202"/>
      <c r="J59" s="196" t="s">
        <v>149</v>
      </c>
      <c r="K59" s="196" t="str">
        <f>IF(AK59="","",VLOOKUP(5,$AK$55:$AU$61,4,0))</f>
        <v/>
      </c>
      <c r="L59" s="202"/>
      <c r="M59" s="202"/>
      <c r="N59" s="202"/>
      <c r="O59" s="202"/>
      <c r="P59" s="202"/>
      <c r="Q59" s="203"/>
      <c r="R59" s="274" t="str">
        <f>IF(AK59="","",VLOOKUP(5,$AK$55:$AU$61,5,0))</f>
        <v/>
      </c>
      <c r="S59" s="274"/>
      <c r="T59" s="274"/>
      <c r="U59" s="274" t="str">
        <f>IF(AK59="","",VLOOKUP(5,$AK$55:$AU$61,6,0))</f>
        <v/>
      </c>
      <c r="V59" s="274"/>
      <c r="W59" s="274"/>
      <c r="X59" s="274" t="str">
        <f>IF(AK59="","",VLOOKUP(5,$AK$55:$AU$61,7,0))</f>
        <v/>
      </c>
      <c r="Y59" s="274"/>
      <c r="Z59" s="274"/>
      <c r="AA59" s="274" t="str">
        <f>IF(AK59="","",VLOOKUP(5,$AK$55:$AU$61,8,0))</f>
        <v/>
      </c>
      <c r="AB59" s="274"/>
      <c r="AC59" s="274"/>
      <c r="AD59" s="198" t="str">
        <f>IF(AK59="","",VLOOKUP(5,$AK$55:$AU$61,9,0))</f>
        <v/>
      </c>
      <c r="AE59" s="199" t="str">
        <f>IF(AK59="","",VLOOKUP(5,$AK$55:$AU$61,10,0))</f>
        <v/>
      </c>
      <c r="AF59" s="199" t="s">
        <v>8</v>
      </c>
      <c r="AG59" s="199" t="str">
        <f>IF(AK59="","",VLOOKUP(5,$AK$55:$AU$61,11,0))</f>
        <v/>
      </c>
      <c r="AH59" s="200" t="str">
        <f t="shared" si="4"/>
        <v/>
      </c>
      <c r="AI59" s="10"/>
      <c r="AJ59" s="10"/>
      <c r="AK59" s="92" t="str">
        <f t="shared" si="7"/>
        <v/>
      </c>
      <c r="AL59" t="str">
        <f t="shared" si="8"/>
        <v>Favorit Brno</v>
      </c>
      <c r="AM59" s="94" t="str">
        <f t="shared" si="9"/>
        <v>Písek Ludvík</v>
      </c>
      <c r="AN59" t="str">
        <f t="shared" si="10"/>
        <v>Zvolánek Robert</v>
      </c>
      <c r="AO59">
        <f>'Pořadí zápasů 7 Teams_Spielplan'!S10</f>
        <v>6</v>
      </c>
      <c r="AP59">
        <f>'Pořadí zápasů 7 Teams_Spielplan'!U10</f>
        <v>0</v>
      </c>
      <c r="AQ59">
        <f>'Pořadí zápasů 7 Teams_Spielplan'!V10</f>
        <v>6</v>
      </c>
      <c r="AR59">
        <f>'Pořadí zápasů 7 Teams_Spielplan'!W10</f>
        <v>0</v>
      </c>
      <c r="AS59" s="94" t="str">
        <f t="shared" si="5"/>
        <v/>
      </c>
      <c r="AT59" s="95" t="str">
        <f t="shared" si="5"/>
        <v/>
      </c>
      <c r="AU59" s="95" t="str">
        <f t="shared" si="6"/>
        <v/>
      </c>
    </row>
    <row r="60" spans="1:47" ht="18" customHeight="1">
      <c r="A60" s="79" t="s">
        <v>13</v>
      </c>
      <c r="B60" s="201" t="str">
        <f>IF(AK60="","",VLOOKUP(6,$AK$55:$AU$61,2,0))</f>
        <v/>
      </c>
      <c r="C60" s="195" t="str">
        <f>IF(AK60="","",VLOOKUP(6,$AK$55:$AU$61,3,0))</f>
        <v/>
      </c>
      <c r="D60" s="202"/>
      <c r="E60" s="202"/>
      <c r="F60" s="202"/>
      <c r="G60" s="202"/>
      <c r="H60" s="202"/>
      <c r="I60" s="202"/>
      <c r="J60" s="196" t="s">
        <v>149</v>
      </c>
      <c r="K60" s="196" t="str">
        <f>IF(AK60="","",VLOOKUP(6,$AK$55:$AU$61,4,0))</f>
        <v/>
      </c>
      <c r="L60" s="202"/>
      <c r="M60" s="202"/>
      <c r="N60" s="202"/>
      <c r="O60" s="202"/>
      <c r="P60" s="202"/>
      <c r="Q60" s="203"/>
      <c r="R60" s="274" t="str">
        <f>IF(AK60="","",VLOOKUP(6,$AK$55:$AU$61,5,0))</f>
        <v/>
      </c>
      <c r="S60" s="274"/>
      <c r="T60" s="274"/>
      <c r="U60" s="274" t="str">
        <f>IF(AK60="","",VLOOKUP(6,$AK$55:$AU$61,6,0))</f>
        <v/>
      </c>
      <c r="V60" s="274"/>
      <c r="W60" s="274"/>
      <c r="X60" s="274" t="str">
        <f>IF(AK60="","",VLOOKUP(6,$AK$55:$AU$61,7,0))</f>
        <v/>
      </c>
      <c r="Y60" s="274"/>
      <c r="Z60" s="274"/>
      <c r="AA60" s="274" t="str">
        <f>IF(AK60="","",VLOOKUP(6,$AK$55:$AU$61,8,0))</f>
        <v/>
      </c>
      <c r="AB60" s="274"/>
      <c r="AC60" s="274"/>
      <c r="AD60" s="198" t="str">
        <f>IF(AK60="","",VLOOKUP(6,$AK$55:$AU$61,9,0))</f>
        <v/>
      </c>
      <c r="AE60" s="199" t="str">
        <f>IF(AK60="","",VLOOKUP(6,$AK$55:$AU$61,10,0))</f>
        <v/>
      </c>
      <c r="AF60" s="199" t="s">
        <v>8</v>
      </c>
      <c r="AG60" s="199" t="str">
        <f>IF(AK60="","",VLOOKUP(6,$AK$55:$AU$61,11,0))</f>
        <v/>
      </c>
      <c r="AH60" s="200" t="str">
        <f t="shared" si="4"/>
        <v/>
      </c>
      <c r="AI60" s="10"/>
      <c r="AJ60" s="10"/>
      <c r="AK60" s="92" t="str">
        <f t="shared" si="7"/>
        <v/>
      </c>
      <c r="AL60" t="str">
        <f t="shared" si="8"/>
        <v>Sokol Šitbořice</v>
      </c>
      <c r="AM60" s="94" t="str">
        <f t="shared" si="9"/>
        <v>Drabálek Martin</v>
      </c>
      <c r="AN60" t="str">
        <f t="shared" si="10"/>
        <v>Havlíček Jan</v>
      </c>
      <c r="AO60">
        <f>'Pořadí zápasů 7 Teams_Spielplan'!S11</f>
        <v>6</v>
      </c>
      <c r="AP60">
        <f>'Pořadí zápasů 7 Teams_Spielplan'!U11</f>
        <v>0</v>
      </c>
      <c r="AQ60">
        <f>'Pořadí zápasů 7 Teams_Spielplan'!V11</f>
        <v>6</v>
      </c>
      <c r="AR60">
        <f>'Pořadí zápasů 7 Teams_Spielplan'!W11</f>
        <v>0</v>
      </c>
      <c r="AS60" s="94" t="str">
        <f t="shared" si="5"/>
        <v/>
      </c>
      <c r="AT60" s="95" t="str">
        <f t="shared" si="5"/>
        <v/>
      </c>
      <c r="AU60" s="95" t="str">
        <f t="shared" si="6"/>
        <v/>
      </c>
    </row>
    <row r="61" spans="1:47" ht="18" customHeight="1">
      <c r="A61" s="79" t="s">
        <v>16</v>
      </c>
      <c r="B61" s="201" t="str">
        <f>IF(AK61="","",VLOOKUP(7,$AK$55:$AU$61,2,0))</f>
        <v/>
      </c>
      <c r="C61" s="195" t="str">
        <f>IF(AK61="","",VLOOKUP(7,$AK$55:$AU$61,3,0))</f>
        <v/>
      </c>
      <c r="D61" s="202"/>
      <c r="E61" s="202"/>
      <c r="F61" s="202"/>
      <c r="G61" s="202"/>
      <c r="H61" s="202"/>
      <c r="I61" s="202"/>
      <c r="J61" s="196" t="s">
        <v>149</v>
      </c>
      <c r="K61" s="196" t="str">
        <f>IF(AK61="","",VLOOKUP(7,$AK$55:$AU$61,4,0))</f>
        <v/>
      </c>
      <c r="L61" s="202"/>
      <c r="M61" s="202"/>
      <c r="N61" s="202"/>
      <c r="O61" s="202"/>
      <c r="P61" s="202"/>
      <c r="Q61" s="203"/>
      <c r="R61" s="274" t="str">
        <f>IF(AK61="","",VLOOKUP(7,$AK$55:$AU$61,5,0))</f>
        <v/>
      </c>
      <c r="S61" s="274"/>
      <c r="T61" s="274"/>
      <c r="U61" s="274" t="str">
        <f>IF(AK61="","",VLOOKUP(7,$AK$55:$AU$61,6,0))</f>
        <v/>
      </c>
      <c r="V61" s="274"/>
      <c r="W61" s="274"/>
      <c r="X61" s="274" t="str">
        <f>IF(AK61="","",VLOOKUP(7,$AK$55:$AU$61,7,0))</f>
        <v/>
      </c>
      <c r="Y61" s="274"/>
      <c r="Z61" s="274"/>
      <c r="AA61" s="274" t="str">
        <f>IF(AK61="","",VLOOKUP(7,$AK$55:$AU$61,8,0))</f>
        <v/>
      </c>
      <c r="AB61" s="274"/>
      <c r="AC61" s="274"/>
      <c r="AD61" s="198" t="str">
        <f>IF(AK61="","",VLOOKUP(7,$AK$55:$AU$61,9,0))</f>
        <v/>
      </c>
      <c r="AE61" s="199" t="str">
        <f>IF(AK61="","",VLOOKUP(7,$AK$55:$AU$61,10,0))</f>
        <v/>
      </c>
      <c r="AF61" s="199" t="s">
        <v>8</v>
      </c>
      <c r="AG61" s="199" t="str">
        <f>IF(AK61="","",VLOOKUP(7,$AK$55:$AU$61,11,0))</f>
        <v/>
      </c>
      <c r="AH61" s="200" t="str">
        <f t="shared" si="4"/>
        <v/>
      </c>
      <c r="AI61" s="10"/>
      <c r="AJ61" s="10"/>
      <c r="AK61" s="92" t="str">
        <f t="shared" si="7"/>
        <v/>
      </c>
      <c r="AL61" t="str">
        <f t="shared" si="8"/>
        <v>Prima Nezamyslice</v>
      </c>
      <c r="AM61" s="94" t="str">
        <f t="shared" si="9"/>
        <v>Přikryl Martin</v>
      </c>
      <c r="AN61" t="str">
        <f t="shared" si="10"/>
        <v>Přikryl Petr</v>
      </c>
      <c r="AO61">
        <f>'Pořadí zápasů 7 Teams_Spielplan'!S12</f>
        <v>6</v>
      </c>
      <c r="AP61">
        <f>'Pořadí zápasů 7 Teams_Spielplan'!U12</f>
        <v>0</v>
      </c>
      <c r="AQ61">
        <f>'Pořadí zápasů 7 Teams_Spielplan'!V12</f>
        <v>6</v>
      </c>
      <c r="AR61">
        <f>'Pořadí zápasů 7 Teams_Spielplan'!W12</f>
        <v>0</v>
      </c>
      <c r="AS61" s="94" t="str">
        <f t="shared" si="5"/>
        <v/>
      </c>
      <c r="AT61" s="95" t="str">
        <f t="shared" si="5"/>
        <v/>
      </c>
      <c r="AU61" s="95" t="str">
        <f t="shared" si="6"/>
        <v/>
      </c>
    </row>
    <row r="62" spans="1:47"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F62" s="2"/>
      <c r="AH62" s="2"/>
    </row>
  </sheetData>
  <mergeCells count="71">
    <mergeCell ref="C4:AA4"/>
    <mergeCell ref="AG12:AH12"/>
    <mergeCell ref="AG14:AH14"/>
    <mergeCell ref="AG13:AH13"/>
    <mergeCell ref="C5:K5"/>
    <mergeCell ref="Q5:AC5"/>
    <mergeCell ref="AG11:AH11"/>
    <mergeCell ref="B11:E11"/>
    <mergeCell ref="F11:Q11"/>
    <mergeCell ref="K6:AA6"/>
    <mergeCell ref="F7:G7"/>
    <mergeCell ref="W11:AF11"/>
    <mergeCell ref="C7:D7"/>
    <mergeCell ref="AA54:AC54"/>
    <mergeCell ref="X55:Z55"/>
    <mergeCell ref="X54:Z54"/>
    <mergeCell ref="AG15:AH15"/>
    <mergeCell ref="AG18:AH18"/>
    <mergeCell ref="AG17:AH17"/>
    <mergeCell ref="AG16:AH16"/>
    <mergeCell ref="AA59:AC59"/>
    <mergeCell ref="U59:W59"/>
    <mergeCell ref="X58:Z58"/>
    <mergeCell ref="R55:T55"/>
    <mergeCell ref="U57:W57"/>
    <mergeCell ref="X57:Z57"/>
    <mergeCell ref="AA57:AC57"/>
    <mergeCell ref="AA58:AC58"/>
    <mergeCell ref="R56:T56"/>
    <mergeCell ref="X56:Z56"/>
    <mergeCell ref="R57:T57"/>
    <mergeCell ref="AA55:AC55"/>
    <mergeCell ref="U56:W56"/>
    <mergeCell ref="AA56:AC56"/>
    <mergeCell ref="U55:W55"/>
    <mergeCell ref="R17:V17"/>
    <mergeCell ref="A9:H9"/>
    <mergeCell ref="R61:T61"/>
    <mergeCell ref="U61:W61"/>
    <mergeCell ref="R58:T58"/>
    <mergeCell ref="U58:W58"/>
    <mergeCell ref="U54:W54"/>
    <mergeCell ref="R59:T59"/>
    <mergeCell ref="R11:V11"/>
    <mergeCell ref="R18:V18"/>
    <mergeCell ref="R12:V12"/>
    <mergeCell ref="R13:V13"/>
    <mergeCell ref="R15:V15"/>
    <mergeCell ref="R16:V16"/>
    <mergeCell ref="R14:V14"/>
    <mergeCell ref="A28:H28"/>
    <mergeCell ref="AA61:AC61"/>
    <mergeCell ref="X60:Z60"/>
    <mergeCell ref="AA60:AC60"/>
    <mergeCell ref="R60:T60"/>
    <mergeCell ref="U60:W60"/>
    <mergeCell ref="A21:H21"/>
    <mergeCell ref="I29:K29"/>
    <mergeCell ref="X29:Z29"/>
    <mergeCell ref="X61:Z61"/>
    <mergeCell ref="R54:T54"/>
    <mergeCell ref="X59:Z59"/>
    <mergeCell ref="A52:H52"/>
    <mergeCell ref="O29:Q29"/>
    <mergeCell ref="C54:Q54"/>
    <mergeCell ref="R29:T29"/>
    <mergeCell ref="U29:W29"/>
    <mergeCell ref="C29:E29"/>
    <mergeCell ref="F29:H29"/>
    <mergeCell ref="L29:N29"/>
    <mergeCell ref="A40:H40"/>
  </mergeCells>
  <phoneticPr fontId="0" type="noConversion"/>
  <conditionalFormatting sqref="AH31:AH37">
    <cfRule type="duplicateValues" dxfId="0" priority="1" stopIfTrue="1"/>
  </conditionalFormatting>
  <dataValidations count="3">
    <dataValidation type="list" allowBlank="1" showInputMessage="1" promptTitle="Seznam klubů:" prompt="Zadej spolek - klub rozbalovacím tlačítkem" sqref="K6:AA6">
      <formula1>$AN$8:$AN$21</formula1>
    </dataValidation>
    <dataValidation type="list" showInputMessage="1" showErrorMessage="1" promptTitle="Zadej spolek - klub tlačítkem" sqref="AB6:AC6">
      <formula1>$AN$11:$AN$21</formula1>
    </dataValidation>
    <dataValidation type="list" allowBlank="1" showInputMessage="1" promptTitle="Doba hry:" prompt="Zadej počet minut rozbalovacím tlačítkem" sqref="U7">
      <formula1>$AN$3:$AN$6</formula1>
    </dataValidation>
  </dataValidations>
  <printOptions horizontalCentered="1"/>
  <pageMargins left="0.3" right="0.27559055118110237" top="0.43307086614173229" bottom="0.55118110236220474" header="0.23622047244094491" footer="0.31496062992125984"/>
  <pageSetup paperSize="9" scale="90" orientation="portrait" horizontalDpi="4294967294" verticalDpi="300" r:id="rId1"/>
  <headerFooter alignWithMargins="0"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zoomScale="80" zoomScaleNormal="80" workbookViewId="0">
      <selection activeCell="E28" sqref="E28:E33"/>
    </sheetView>
  </sheetViews>
  <sheetFormatPr defaultRowHeight="13.2"/>
  <cols>
    <col min="1" max="1" width="5.77734375" customWidth="1"/>
    <col min="2" max="2" width="2" customWidth="1"/>
    <col min="3" max="3" width="23.21875" customWidth="1"/>
    <col min="4" max="4" width="2.21875" customWidth="1"/>
    <col min="5" max="5" width="23.21875" customWidth="1"/>
    <col min="6" max="6" width="12.5546875" customWidth="1"/>
    <col min="7" max="8" width="9.77734375" customWidth="1"/>
    <col min="9" max="9" width="4.44140625" style="81" customWidth="1"/>
    <col min="10" max="10" width="1.21875" style="81" customWidth="1"/>
    <col min="11" max="12" width="4.44140625" style="81" customWidth="1"/>
    <col min="13" max="13" width="1.21875" style="81" customWidth="1"/>
    <col min="14" max="14" width="4.44140625" style="81" customWidth="1"/>
    <col min="15" max="15" width="11" style="126" customWidth="1"/>
    <col min="16" max="16" width="8" customWidth="1"/>
    <col min="17" max="17" width="20.77734375" customWidth="1"/>
    <col min="18" max="18" width="3.5546875" customWidth="1"/>
    <col min="19" max="19" width="13" customWidth="1"/>
    <col min="20" max="20" width="6" customWidth="1"/>
    <col min="21" max="23" width="6" hidden="1" customWidth="1"/>
    <col min="24" max="25" width="14.77734375" hidden="1" customWidth="1"/>
    <col min="26" max="27" width="13.21875" hidden="1" customWidth="1"/>
    <col min="28" max="28" width="3.21875" hidden="1" customWidth="1"/>
    <col min="29" max="32" width="8.77734375" hidden="1" customWidth="1"/>
    <col min="33" max="48" width="8.77734375" customWidth="1"/>
  </cols>
  <sheetData>
    <row r="1" spans="1:31" ht="58.8" customHeight="1" thickBot="1">
      <c r="B1" s="306"/>
      <c r="C1" s="306"/>
      <c r="D1" s="306"/>
      <c r="G1" s="307"/>
      <c r="H1" s="307"/>
      <c r="I1" s="307"/>
      <c r="J1" s="307"/>
      <c r="K1" s="307"/>
      <c r="L1" s="307"/>
      <c r="M1" s="307"/>
      <c r="AC1" s="37" t="s">
        <v>30</v>
      </c>
      <c r="AD1" s="37" t="s">
        <v>32</v>
      </c>
      <c r="AE1" s="37" t="s">
        <v>31</v>
      </c>
    </row>
    <row r="2" spans="1:31" s="26" customFormat="1" ht="25.95" customHeight="1" thickTop="1" thickBot="1">
      <c r="A2" s="311" t="str">
        <f>INDEX(AC6:AE6,$P$2)</f>
        <v>Pořadí zápasů - 7 družstev</v>
      </c>
      <c r="B2" s="312"/>
      <c r="C2" s="312"/>
      <c r="D2" s="312"/>
      <c r="E2" s="312"/>
      <c r="F2" s="312"/>
      <c r="G2" s="312"/>
      <c r="H2" s="312"/>
      <c r="I2" s="308" t="s">
        <v>235</v>
      </c>
      <c r="J2" s="309"/>
      <c r="K2" s="310"/>
      <c r="L2" s="308" t="s">
        <v>236</v>
      </c>
      <c r="M2" s="309"/>
      <c r="N2" s="310"/>
      <c r="O2" s="127"/>
      <c r="P2" s="119">
        <f>'Protokol 7 Teams'!AJ4</f>
        <v>1</v>
      </c>
      <c r="Q2" s="43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34" customFormat="1" ht="13.5" customHeight="1" thickBot="1">
      <c r="A3" s="32"/>
      <c r="B3" s="32"/>
      <c r="C3" s="33"/>
      <c r="D3" s="33"/>
      <c r="E3" s="33"/>
      <c r="F3" s="244" t="s">
        <v>180</v>
      </c>
      <c r="G3" s="33"/>
      <c r="H3" s="33"/>
      <c r="I3" s="82"/>
      <c r="J3" s="82"/>
      <c r="K3" s="82"/>
      <c r="L3" s="82"/>
      <c r="M3" s="82"/>
      <c r="N3" s="82"/>
      <c r="O3" s="128"/>
      <c r="AB3" s="54"/>
    </row>
    <row r="4" spans="1:31" ht="15.75" customHeight="1" thickBot="1">
      <c r="A4" s="315" t="str">
        <f>INDEX(AC7:AE7,$P$2)</f>
        <v>Č.</v>
      </c>
      <c r="B4" s="317"/>
      <c r="C4" s="319" t="str">
        <f>INDEX(AC8:AE8,$P$2)</f>
        <v>1. družstvo</v>
      </c>
      <c r="D4" s="28"/>
      <c r="E4" s="321" t="str">
        <f>INDEX(AC9:AE9,$P$2)</f>
        <v>2. družstvo</v>
      </c>
      <c r="F4" s="323" t="str">
        <f>INDEX(AC10:AE10,$P$2)</f>
        <v>Rozhodčí</v>
      </c>
      <c r="G4" s="325" t="str">
        <f>INDEX(AC11:AE11,$P$2)</f>
        <v>Branky poločasů</v>
      </c>
      <c r="H4" s="326"/>
      <c r="I4" s="327" t="str">
        <f>INDEX(AC14:AE14,$P$2)</f>
        <v>Poločas</v>
      </c>
      <c r="J4" s="328"/>
      <c r="K4" s="329"/>
      <c r="L4" s="327" t="str">
        <f>INDEX(AC15:AE15,$P$2)</f>
        <v>Výsledek</v>
      </c>
      <c r="M4" s="328"/>
      <c r="N4" s="332"/>
      <c r="P4" s="48" t="str">
        <f>INDEX(AC16:AE16,$P$2)</f>
        <v>MIMO OBLAST TISKU</v>
      </c>
      <c r="Q4" s="49"/>
      <c r="R4" s="34"/>
      <c r="S4" s="313" t="str">
        <f>INDEX(AC18:AE18,$P$2)</f>
        <v>Kontrola počtu zápasů</v>
      </c>
      <c r="T4" s="87"/>
      <c r="U4" s="87"/>
      <c r="V4" s="87"/>
      <c r="W4" s="87"/>
      <c r="AB4" s="44"/>
      <c r="AC4" s="50" t="s">
        <v>76</v>
      </c>
      <c r="AD4" s="42" t="s">
        <v>77</v>
      </c>
      <c r="AE4" s="51" t="s">
        <v>78</v>
      </c>
    </row>
    <row r="5" spans="1:31" ht="15.75" customHeight="1" thickBot="1">
      <c r="A5" s="316"/>
      <c r="B5" s="318"/>
      <c r="C5" s="320"/>
      <c r="D5" s="29"/>
      <c r="E5" s="322"/>
      <c r="F5" s="324"/>
      <c r="G5" s="30" t="str">
        <f>INDEX(AC12:AE12,$P$2)</f>
        <v>1.druž.</v>
      </c>
      <c r="H5" s="24" t="str">
        <f>INDEX(AC13:AE13,$P$2)</f>
        <v>2.druž.</v>
      </c>
      <c r="I5" s="330"/>
      <c r="J5" s="322"/>
      <c r="K5" s="331"/>
      <c r="L5" s="320"/>
      <c r="M5" s="322"/>
      <c r="N5" s="333"/>
      <c r="P5" s="22" t="str">
        <f>INDEX(AC17:AE17,$P$2)</f>
        <v>Nasazení družstev</v>
      </c>
      <c r="Q5" s="35"/>
      <c r="R5" s="34"/>
      <c r="S5" s="314"/>
      <c r="T5" s="97"/>
      <c r="U5" s="106" t="s">
        <v>150</v>
      </c>
      <c r="V5" s="106" t="s">
        <v>152</v>
      </c>
      <c r="W5" s="106" t="s">
        <v>151</v>
      </c>
      <c r="X5" s="99" t="s">
        <v>150</v>
      </c>
      <c r="Y5" s="99" t="s">
        <v>150</v>
      </c>
      <c r="Z5" s="99" t="s">
        <v>151</v>
      </c>
      <c r="AA5" s="99" t="s">
        <v>151</v>
      </c>
      <c r="AB5" s="44"/>
    </row>
    <row r="6" spans="1:31" ht="33" customHeight="1">
      <c r="A6" s="76" t="s">
        <v>10</v>
      </c>
      <c r="B6" s="31"/>
      <c r="C6" s="88" t="str">
        <f>Q6</f>
        <v>Sokol Zlín-Prštné 1</v>
      </c>
      <c r="D6" s="74" t="s">
        <v>8</v>
      </c>
      <c r="E6" s="90" t="str">
        <f>Q7</f>
        <v>Sokol Zlín-Prštné 2</v>
      </c>
      <c r="F6" s="256"/>
      <c r="G6" s="80" t="s">
        <v>19</v>
      </c>
      <c r="H6" s="80" t="s">
        <v>25</v>
      </c>
      <c r="I6" s="204"/>
      <c r="J6" s="205" t="s">
        <v>8</v>
      </c>
      <c r="K6" s="206"/>
      <c r="L6" s="207"/>
      <c r="M6" s="208" t="s">
        <v>8</v>
      </c>
      <c r="N6" s="209"/>
      <c r="P6" s="27">
        <v>1</v>
      </c>
      <c r="Q6" s="83" t="s">
        <v>200</v>
      </c>
      <c r="R6" s="34"/>
      <c r="S6" s="36">
        <f>COUNTIF($C$6:E27,Q6)</f>
        <v>6</v>
      </c>
      <c r="T6" s="98"/>
      <c r="U6" s="107">
        <f t="shared" ref="U6:U12" si="0">COUNTIFS($X$6:$Y$27,Q6)</f>
        <v>0</v>
      </c>
      <c r="V6" s="108">
        <f t="shared" ref="V6:V12" si="1">S6-U6-W6</f>
        <v>6</v>
      </c>
      <c r="W6" s="107">
        <f t="shared" ref="W6:W12" si="2">COUNTIFS($Z$6:$AA$27,Q6)</f>
        <v>0</v>
      </c>
      <c r="X6" s="104" t="str">
        <f t="shared" ref="X6" si="3">IF(L6&gt;N6,C6,"")</f>
        <v/>
      </c>
      <c r="Y6" s="104" t="str">
        <f t="shared" ref="Y6" si="4">IF(L6&lt;N6,E6,"")</f>
        <v/>
      </c>
      <c r="Z6" s="105" t="str">
        <f t="shared" ref="Z6" si="5">IF(L6&lt;N6,C6,"")</f>
        <v/>
      </c>
      <c r="AA6" s="105" t="str">
        <f t="shared" ref="AA6" si="6">IF(L6&gt;N6,E6,"")</f>
        <v/>
      </c>
      <c r="AB6" s="44"/>
      <c r="AC6" t="s">
        <v>126</v>
      </c>
      <c r="AD6" t="s">
        <v>146</v>
      </c>
      <c r="AE6" t="s">
        <v>127</v>
      </c>
    </row>
    <row r="7" spans="1:31" ht="33" customHeight="1">
      <c r="A7" s="76" t="s">
        <v>11</v>
      </c>
      <c r="B7" s="31"/>
      <c r="C7" s="89" t="str">
        <f>Q8</f>
        <v>MO Svitávka</v>
      </c>
      <c r="D7" s="75" t="s">
        <v>8</v>
      </c>
      <c r="E7" s="91" t="str">
        <f>Q9</f>
        <v>SC Svitávka</v>
      </c>
      <c r="F7" s="256"/>
      <c r="G7" s="80" t="s">
        <v>19</v>
      </c>
      <c r="H7" s="80" t="s">
        <v>25</v>
      </c>
      <c r="I7" s="210"/>
      <c r="J7" s="205" t="s">
        <v>8</v>
      </c>
      <c r="K7" s="206"/>
      <c r="L7" s="207"/>
      <c r="M7" s="208" t="s">
        <v>8</v>
      </c>
      <c r="N7" s="209"/>
      <c r="P7" s="27">
        <v>2</v>
      </c>
      <c r="Q7" s="83" t="s">
        <v>208</v>
      </c>
      <c r="R7" s="34"/>
      <c r="S7" s="36">
        <f>COUNTIF($C$6:E27,Q7)</f>
        <v>6</v>
      </c>
      <c r="T7" s="98"/>
      <c r="U7" s="107">
        <f t="shared" si="0"/>
        <v>0</v>
      </c>
      <c r="V7" s="108">
        <f t="shared" si="1"/>
        <v>6</v>
      </c>
      <c r="W7" s="107">
        <f t="shared" si="2"/>
        <v>0</v>
      </c>
      <c r="X7" s="104" t="str">
        <f t="shared" ref="X7:X26" si="7">IF(L7&gt;N7,C7,"")</f>
        <v/>
      </c>
      <c r="Y7" s="104" t="str">
        <f t="shared" ref="Y7:Y26" si="8">IF(L7&lt;N7,E7,"")</f>
        <v/>
      </c>
      <c r="Z7" s="105" t="str">
        <f t="shared" ref="Z7:Z26" si="9">IF(L7&lt;N7,C7,"")</f>
        <v/>
      </c>
      <c r="AA7" s="105" t="str">
        <f t="shared" ref="AA7:AA26" si="10">IF(L7&gt;N7,E7,"")</f>
        <v/>
      </c>
      <c r="AB7" s="44"/>
      <c r="AC7" t="s">
        <v>75</v>
      </c>
      <c r="AD7" t="s">
        <v>107</v>
      </c>
      <c r="AE7" t="s">
        <v>108</v>
      </c>
    </row>
    <row r="8" spans="1:31" ht="33" customHeight="1">
      <c r="A8" s="76" t="s">
        <v>15</v>
      </c>
      <c r="B8" s="31"/>
      <c r="C8" s="89" t="str">
        <f>Q10</f>
        <v>Favorit Brno</v>
      </c>
      <c r="D8" s="75" t="s">
        <v>8</v>
      </c>
      <c r="E8" s="91" t="str">
        <f>Q11</f>
        <v>Sokol Šitbořice</v>
      </c>
      <c r="F8" s="256"/>
      <c r="G8" s="80" t="s">
        <v>19</v>
      </c>
      <c r="H8" s="80" t="s">
        <v>25</v>
      </c>
      <c r="I8" s="210"/>
      <c r="J8" s="205" t="s">
        <v>8</v>
      </c>
      <c r="K8" s="206"/>
      <c r="L8" s="207"/>
      <c r="M8" s="208" t="s">
        <v>8</v>
      </c>
      <c r="N8" s="209"/>
      <c r="P8" s="27">
        <v>3</v>
      </c>
      <c r="Q8" s="83" t="s">
        <v>214</v>
      </c>
      <c r="R8" s="34"/>
      <c r="S8" s="36">
        <f>COUNTIF($C$6:E27,Q8)</f>
        <v>6</v>
      </c>
      <c r="T8" s="98"/>
      <c r="U8" s="107">
        <f t="shared" si="0"/>
        <v>0</v>
      </c>
      <c r="V8" s="108">
        <f t="shared" si="1"/>
        <v>6</v>
      </c>
      <c r="W8" s="107">
        <f t="shared" si="2"/>
        <v>0</v>
      </c>
      <c r="X8" s="104" t="str">
        <f t="shared" si="7"/>
        <v/>
      </c>
      <c r="Y8" s="104" t="str">
        <f t="shared" si="8"/>
        <v/>
      </c>
      <c r="Z8" s="105" t="str">
        <f t="shared" si="9"/>
        <v/>
      </c>
      <c r="AA8" s="105" t="str">
        <f t="shared" si="10"/>
        <v/>
      </c>
      <c r="AB8" s="44"/>
      <c r="AC8" t="s">
        <v>142</v>
      </c>
      <c r="AD8" t="s">
        <v>109</v>
      </c>
      <c r="AE8" t="s">
        <v>144</v>
      </c>
    </row>
    <row r="9" spans="1:31" ht="33" customHeight="1">
      <c r="A9" s="76" t="s">
        <v>14</v>
      </c>
      <c r="B9" s="31"/>
      <c r="C9" s="89" t="str">
        <f>Q6</f>
        <v>Sokol Zlín-Prštné 1</v>
      </c>
      <c r="D9" s="75" t="s">
        <v>8</v>
      </c>
      <c r="E9" s="91" t="str">
        <f>Q12</f>
        <v>Prima Nezamyslice</v>
      </c>
      <c r="F9" s="256"/>
      <c r="G9" s="80" t="s">
        <v>19</v>
      </c>
      <c r="H9" s="80" t="s">
        <v>25</v>
      </c>
      <c r="I9" s="210"/>
      <c r="J9" s="205" t="s">
        <v>8</v>
      </c>
      <c r="K9" s="206"/>
      <c r="L9" s="207"/>
      <c r="M9" s="208" t="s">
        <v>8</v>
      </c>
      <c r="N9" s="209"/>
      <c r="P9" s="27">
        <v>4</v>
      </c>
      <c r="Q9" s="83" t="s">
        <v>202</v>
      </c>
      <c r="R9" s="34"/>
      <c r="S9" s="36">
        <f>COUNTIF($C$6:E27,Q9)</f>
        <v>6</v>
      </c>
      <c r="T9" s="98"/>
      <c r="U9" s="107">
        <f t="shared" si="0"/>
        <v>0</v>
      </c>
      <c r="V9" s="108">
        <f t="shared" si="1"/>
        <v>6</v>
      </c>
      <c r="W9" s="107">
        <f t="shared" si="2"/>
        <v>0</v>
      </c>
      <c r="X9" s="104" t="str">
        <f t="shared" si="7"/>
        <v/>
      </c>
      <c r="Y9" s="104" t="str">
        <f t="shared" si="8"/>
        <v/>
      </c>
      <c r="Z9" s="105" t="str">
        <f t="shared" si="9"/>
        <v/>
      </c>
      <c r="AA9" s="105" t="str">
        <f t="shared" si="10"/>
        <v/>
      </c>
      <c r="AB9" s="44"/>
      <c r="AC9" t="s">
        <v>143</v>
      </c>
      <c r="AD9" t="s">
        <v>111</v>
      </c>
      <c r="AE9" t="s">
        <v>145</v>
      </c>
    </row>
    <row r="10" spans="1:31" ht="33" customHeight="1">
      <c r="A10" s="76" t="s">
        <v>12</v>
      </c>
      <c r="B10" s="31"/>
      <c r="C10" s="89" t="str">
        <f>Q7</f>
        <v>Sokol Zlín-Prštné 2</v>
      </c>
      <c r="D10" s="75" t="s">
        <v>8</v>
      </c>
      <c r="E10" s="91" t="str">
        <f>Q8</f>
        <v>MO Svitávka</v>
      </c>
      <c r="F10" s="256"/>
      <c r="G10" s="80" t="s">
        <v>19</v>
      </c>
      <c r="H10" s="80" t="s">
        <v>25</v>
      </c>
      <c r="I10" s="210"/>
      <c r="J10" s="205" t="s">
        <v>8</v>
      </c>
      <c r="K10" s="206"/>
      <c r="L10" s="207"/>
      <c r="M10" s="208" t="s">
        <v>8</v>
      </c>
      <c r="N10" s="209"/>
      <c r="P10" s="27">
        <v>5</v>
      </c>
      <c r="Q10" s="83" t="s">
        <v>203</v>
      </c>
      <c r="R10" s="34"/>
      <c r="S10" s="36">
        <f>COUNTIF($C$6:E32,Q10)</f>
        <v>6</v>
      </c>
      <c r="T10" s="98"/>
      <c r="U10" s="107">
        <f t="shared" si="0"/>
        <v>0</v>
      </c>
      <c r="V10" s="108">
        <f t="shared" si="1"/>
        <v>6</v>
      </c>
      <c r="W10" s="107">
        <f t="shared" si="2"/>
        <v>0</v>
      </c>
      <c r="X10" s="104" t="str">
        <f t="shared" si="7"/>
        <v/>
      </c>
      <c r="Y10" s="104" t="str">
        <f t="shared" si="8"/>
        <v/>
      </c>
      <c r="Z10" s="105" t="str">
        <f t="shared" si="9"/>
        <v/>
      </c>
      <c r="AA10" s="105" t="str">
        <f t="shared" si="10"/>
        <v/>
      </c>
      <c r="AB10" s="44"/>
      <c r="AC10" t="s">
        <v>3</v>
      </c>
      <c r="AD10" s="52" t="s">
        <v>52</v>
      </c>
      <c r="AE10" s="52" t="s">
        <v>113</v>
      </c>
    </row>
    <row r="11" spans="1:31" ht="33" customHeight="1">
      <c r="A11" s="76" t="s">
        <v>13</v>
      </c>
      <c r="B11" s="31"/>
      <c r="C11" s="89" t="str">
        <f>Q9</f>
        <v>SC Svitávka</v>
      </c>
      <c r="D11" s="75" t="s">
        <v>8</v>
      </c>
      <c r="E11" s="91" t="str">
        <f>Q10</f>
        <v>Favorit Brno</v>
      </c>
      <c r="F11" s="256"/>
      <c r="G11" s="80" t="s">
        <v>19</v>
      </c>
      <c r="H11" s="80" t="s">
        <v>25</v>
      </c>
      <c r="I11" s="210"/>
      <c r="J11" s="205" t="s">
        <v>8</v>
      </c>
      <c r="K11" s="206"/>
      <c r="L11" s="207"/>
      <c r="M11" s="208" t="s">
        <v>8</v>
      </c>
      <c r="N11" s="209"/>
      <c r="P11" s="27">
        <v>6</v>
      </c>
      <c r="Q11" s="83" t="s">
        <v>224</v>
      </c>
      <c r="R11" s="34"/>
      <c r="S11" s="36">
        <f>COUNTIF($C$6:E33,Q11)</f>
        <v>6</v>
      </c>
      <c r="T11" s="98"/>
      <c r="U11" s="107">
        <f t="shared" si="0"/>
        <v>0</v>
      </c>
      <c r="V11" s="108">
        <f t="shared" si="1"/>
        <v>6</v>
      </c>
      <c r="W11" s="107">
        <f t="shared" si="2"/>
        <v>0</v>
      </c>
      <c r="X11" s="104" t="str">
        <f t="shared" si="7"/>
        <v/>
      </c>
      <c r="Y11" s="104" t="str">
        <f t="shared" si="8"/>
        <v/>
      </c>
      <c r="Z11" s="105" t="str">
        <f t="shared" si="9"/>
        <v/>
      </c>
      <c r="AA11" s="105" t="str">
        <f t="shared" si="10"/>
        <v/>
      </c>
      <c r="AB11" s="44"/>
      <c r="AC11" t="s">
        <v>22</v>
      </c>
      <c r="AD11" t="s">
        <v>114</v>
      </c>
      <c r="AE11" t="s">
        <v>115</v>
      </c>
    </row>
    <row r="12" spans="1:31" ht="33" customHeight="1">
      <c r="A12" s="76" t="s">
        <v>16</v>
      </c>
      <c r="B12" s="31"/>
      <c r="C12" s="89" t="str">
        <f>Q11</f>
        <v>Sokol Šitbořice</v>
      </c>
      <c r="D12" s="75" t="s">
        <v>8</v>
      </c>
      <c r="E12" s="91" t="str">
        <f>Q12</f>
        <v>Prima Nezamyslice</v>
      </c>
      <c r="F12" s="256"/>
      <c r="G12" s="80" t="s">
        <v>19</v>
      </c>
      <c r="H12" s="80" t="s">
        <v>25</v>
      </c>
      <c r="I12" s="210"/>
      <c r="J12" s="205" t="s">
        <v>8</v>
      </c>
      <c r="K12" s="206"/>
      <c r="L12" s="207"/>
      <c r="M12" s="208" t="s">
        <v>8</v>
      </c>
      <c r="N12" s="209"/>
      <c r="P12" s="27">
        <v>7</v>
      </c>
      <c r="Q12" s="83" t="s">
        <v>213</v>
      </c>
      <c r="R12" s="34"/>
      <c r="S12" s="240">
        <f>COUNTIF($C$6:E34,Q12)</f>
        <v>6</v>
      </c>
      <c r="T12" s="98"/>
      <c r="U12" s="107">
        <f t="shared" si="0"/>
        <v>0</v>
      </c>
      <c r="V12" s="108">
        <f t="shared" si="1"/>
        <v>6</v>
      </c>
      <c r="W12" s="107">
        <f t="shared" si="2"/>
        <v>0</v>
      </c>
      <c r="X12" s="104" t="str">
        <f t="shared" si="7"/>
        <v/>
      </c>
      <c r="Y12" s="104" t="str">
        <f t="shared" si="8"/>
        <v/>
      </c>
      <c r="Z12" s="105" t="str">
        <f t="shared" si="9"/>
        <v/>
      </c>
      <c r="AA12" s="105" t="str">
        <f t="shared" si="10"/>
        <v/>
      </c>
      <c r="AB12" s="44"/>
      <c r="AC12" t="s">
        <v>23</v>
      </c>
      <c r="AD12" t="s">
        <v>116</v>
      </c>
      <c r="AE12" t="s">
        <v>110</v>
      </c>
    </row>
    <row r="13" spans="1:31" ht="33" customHeight="1">
      <c r="A13" s="76" t="s">
        <v>128</v>
      </c>
      <c r="B13" s="31"/>
      <c r="C13" s="89" t="str">
        <f>Q6</f>
        <v>Sokol Zlín-Prštné 1</v>
      </c>
      <c r="D13" s="75" t="s">
        <v>8</v>
      </c>
      <c r="E13" s="91" t="str">
        <f>Q8</f>
        <v>MO Svitávka</v>
      </c>
      <c r="F13" s="256"/>
      <c r="G13" s="80" t="s">
        <v>19</v>
      </c>
      <c r="H13" s="80" t="s">
        <v>25</v>
      </c>
      <c r="I13" s="210"/>
      <c r="J13" s="205" t="s">
        <v>8</v>
      </c>
      <c r="K13" s="206"/>
      <c r="L13" s="207"/>
      <c r="M13" s="208" t="s">
        <v>8</v>
      </c>
      <c r="N13" s="209"/>
      <c r="X13" s="104" t="str">
        <f t="shared" si="7"/>
        <v/>
      </c>
      <c r="Y13" s="104" t="str">
        <f t="shared" si="8"/>
        <v/>
      </c>
      <c r="Z13" s="105" t="str">
        <f t="shared" si="9"/>
        <v/>
      </c>
      <c r="AA13" s="105" t="str">
        <f t="shared" si="10"/>
        <v/>
      </c>
      <c r="AB13" s="44"/>
      <c r="AC13" t="s">
        <v>24</v>
      </c>
      <c r="AD13" t="s">
        <v>117</v>
      </c>
      <c r="AE13" t="s">
        <v>112</v>
      </c>
    </row>
    <row r="14" spans="1:31" ht="33" customHeight="1">
      <c r="A14" s="76" t="s">
        <v>129</v>
      </c>
      <c r="B14" s="31"/>
      <c r="C14" s="89" t="str">
        <f>Q7</f>
        <v>Sokol Zlín-Prštné 2</v>
      </c>
      <c r="D14" s="75" t="s">
        <v>8</v>
      </c>
      <c r="E14" s="91" t="str">
        <f>Q10</f>
        <v>Favorit Brno</v>
      </c>
      <c r="F14" s="256"/>
      <c r="G14" s="80" t="s">
        <v>19</v>
      </c>
      <c r="H14" s="80" t="s">
        <v>25</v>
      </c>
      <c r="I14" s="210"/>
      <c r="J14" s="205" t="s">
        <v>8</v>
      </c>
      <c r="K14" s="206"/>
      <c r="L14" s="207"/>
      <c r="M14" s="208" t="s">
        <v>8</v>
      </c>
      <c r="N14" s="209"/>
      <c r="Q14" s="250" t="s">
        <v>214</v>
      </c>
      <c r="R14" s="258"/>
      <c r="S14" t="s">
        <v>218</v>
      </c>
      <c r="X14" s="104" t="str">
        <f t="shared" si="7"/>
        <v/>
      </c>
      <c r="Y14" s="104" t="str">
        <f t="shared" si="8"/>
        <v/>
      </c>
      <c r="Z14" s="105" t="str">
        <f t="shared" si="9"/>
        <v/>
      </c>
      <c r="AA14" s="105" t="str">
        <f t="shared" si="10"/>
        <v/>
      </c>
      <c r="AB14" s="44"/>
      <c r="AC14" s="51" t="s">
        <v>17</v>
      </c>
      <c r="AD14" s="51" t="s">
        <v>118</v>
      </c>
      <c r="AE14" t="s">
        <v>119</v>
      </c>
    </row>
    <row r="15" spans="1:31" ht="33" customHeight="1">
      <c r="A15" s="76" t="s">
        <v>130</v>
      </c>
      <c r="B15" s="31"/>
      <c r="C15" s="89" t="str">
        <f>Q9</f>
        <v>SC Svitávka</v>
      </c>
      <c r="D15" s="75" t="s">
        <v>8</v>
      </c>
      <c r="E15" s="91" t="str">
        <f>Q12</f>
        <v>Prima Nezamyslice</v>
      </c>
      <c r="F15" s="256"/>
      <c r="G15" s="80" t="s">
        <v>19</v>
      </c>
      <c r="H15" s="80" t="s">
        <v>25</v>
      </c>
      <c r="I15" s="210"/>
      <c r="J15" s="205" t="s">
        <v>8</v>
      </c>
      <c r="K15" s="206"/>
      <c r="L15" s="207"/>
      <c r="M15" s="208" t="s">
        <v>8</v>
      </c>
      <c r="N15" s="209"/>
      <c r="P15" s="2"/>
      <c r="Q15" s="250" t="s">
        <v>200</v>
      </c>
      <c r="R15" s="258"/>
      <c r="S15" t="s">
        <v>219</v>
      </c>
      <c r="U15" s="2"/>
      <c r="V15" s="2"/>
      <c r="W15" s="2"/>
      <c r="X15" s="104" t="str">
        <f t="shared" si="7"/>
        <v/>
      </c>
      <c r="Y15" s="104" t="str">
        <f t="shared" si="8"/>
        <v/>
      </c>
      <c r="Z15" s="105" t="str">
        <f t="shared" si="9"/>
        <v/>
      </c>
      <c r="AA15" s="105" t="str">
        <f t="shared" si="10"/>
        <v/>
      </c>
      <c r="AB15" s="44"/>
      <c r="AC15" s="51" t="s">
        <v>18</v>
      </c>
      <c r="AD15" s="52" t="s">
        <v>37</v>
      </c>
      <c r="AE15" s="52" t="s">
        <v>90</v>
      </c>
    </row>
    <row r="16" spans="1:31" ht="33" customHeight="1">
      <c r="A16" s="76" t="s">
        <v>131</v>
      </c>
      <c r="B16" s="31"/>
      <c r="C16" s="89" t="str">
        <f>Q6</f>
        <v>Sokol Zlín-Prštné 1</v>
      </c>
      <c r="D16" s="75" t="s">
        <v>8</v>
      </c>
      <c r="E16" s="91" t="str">
        <f>Q11</f>
        <v>Sokol Šitbořice</v>
      </c>
      <c r="F16" s="256"/>
      <c r="G16" s="80" t="s">
        <v>19</v>
      </c>
      <c r="H16" s="80" t="s">
        <v>25</v>
      </c>
      <c r="I16" s="210"/>
      <c r="J16" s="205" t="s">
        <v>8</v>
      </c>
      <c r="K16" s="206"/>
      <c r="L16" s="207"/>
      <c r="M16" s="208" t="s">
        <v>8</v>
      </c>
      <c r="N16" s="209"/>
      <c r="P16" s="2"/>
      <c r="Q16" s="250" t="s">
        <v>203</v>
      </c>
      <c r="R16" s="258"/>
      <c r="S16" t="s">
        <v>220</v>
      </c>
      <c r="U16" s="2"/>
      <c r="V16" s="2"/>
      <c r="W16" s="2"/>
      <c r="X16" s="104" t="str">
        <f t="shared" si="7"/>
        <v/>
      </c>
      <c r="Y16" s="104" t="str">
        <f t="shared" si="8"/>
        <v/>
      </c>
      <c r="Z16" s="105" t="str">
        <f t="shared" si="9"/>
        <v/>
      </c>
      <c r="AA16" s="105" t="str">
        <f t="shared" si="10"/>
        <v/>
      </c>
      <c r="AB16" s="44"/>
      <c r="AC16" s="51" t="s">
        <v>28</v>
      </c>
      <c r="AD16" s="51" t="s">
        <v>120</v>
      </c>
      <c r="AE16" s="51" t="s">
        <v>121</v>
      </c>
    </row>
    <row r="17" spans="1:31" ht="33" customHeight="1">
      <c r="A17" s="76" t="s">
        <v>132</v>
      </c>
      <c r="B17" s="31"/>
      <c r="C17" s="89" t="str">
        <f>Q8</f>
        <v>MO Svitávka</v>
      </c>
      <c r="D17" s="75" t="s">
        <v>8</v>
      </c>
      <c r="E17" s="91" t="str">
        <f>Q10</f>
        <v>Favorit Brno</v>
      </c>
      <c r="F17" s="256"/>
      <c r="G17" s="80" t="s">
        <v>19</v>
      </c>
      <c r="H17" s="80" t="s">
        <v>25</v>
      </c>
      <c r="I17" s="210"/>
      <c r="J17" s="205" t="s">
        <v>8</v>
      </c>
      <c r="K17" s="206"/>
      <c r="L17" s="207"/>
      <c r="M17" s="208" t="s">
        <v>8</v>
      </c>
      <c r="N17" s="209"/>
      <c r="P17" s="2"/>
      <c r="Q17" s="251" t="s">
        <v>213</v>
      </c>
      <c r="R17" s="258"/>
      <c r="S17" t="s">
        <v>221</v>
      </c>
      <c r="U17" s="2"/>
      <c r="V17" s="2"/>
      <c r="W17" s="2"/>
      <c r="X17" s="104" t="str">
        <f t="shared" si="7"/>
        <v/>
      </c>
      <c r="Y17" s="104" t="str">
        <f t="shared" si="8"/>
        <v/>
      </c>
      <c r="Z17" s="105" t="str">
        <f t="shared" si="9"/>
        <v/>
      </c>
      <c r="AA17" s="105" t="str">
        <f t="shared" si="10"/>
        <v/>
      </c>
      <c r="AB17" s="44"/>
      <c r="AC17" s="51" t="s">
        <v>26</v>
      </c>
      <c r="AD17" s="51" t="s">
        <v>122</v>
      </c>
      <c r="AE17" s="51" t="s">
        <v>123</v>
      </c>
    </row>
    <row r="18" spans="1:31" ht="33" customHeight="1">
      <c r="A18" s="76" t="s">
        <v>133</v>
      </c>
      <c r="B18" s="31"/>
      <c r="C18" s="89" t="str">
        <f>Q7</f>
        <v>Sokol Zlín-Prštné 2</v>
      </c>
      <c r="D18" s="75" t="s">
        <v>8</v>
      </c>
      <c r="E18" s="91" t="str">
        <f>Q12</f>
        <v>Prima Nezamyslice</v>
      </c>
      <c r="F18" s="256"/>
      <c r="G18" s="80" t="s">
        <v>19</v>
      </c>
      <c r="H18" s="80" t="s">
        <v>25</v>
      </c>
      <c r="I18" s="210"/>
      <c r="J18" s="205" t="s">
        <v>8</v>
      </c>
      <c r="K18" s="206"/>
      <c r="L18" s="207"/>
      <c r="M18" s="208" t="s">
        <v>8</v>
      </c>
      <c r="N18" s="209"/>
      <c r="P18" s="2"/>
      <c r="Q18" s="250" t="s">
        <v>202</v>
      </c>
      <c r="R18" s="258"/>
      <c r="S18" s="2" t="s">
        <v>222</v>
      </c>
      <c r="U18" s="2"/>
      <c r="V18" s="2"/>
      <c r="W18" s="2"/>
      <c r="X18" s="104" t="str">
        <f t="shared" si="7"/>
        <v/>
      </c>
      <c r="Y18" s="104" t="str">
        <f t="shared" si="8"/>
        <v/>
      </c>
      <c r="Z18" s="105" t="str">
        <f t="shared" si="9"/>
        <v/>
      </c>
      <c r="AA18" s="105" t="str">
        <f t="shared" si="10"/>
        <v/>
      </c>
      <c r="AB18" s="44"/>
      <c r="AC18" s="51" t="s">
        <v>29</v>
      </c>
      <c r="AD18" s="51" t="s">
        <v>124</v>
      </c>
      <c r="AE18" s="51" t="s">
        <v>125</v>
      </c>
    </row>
    <row r="19" spans="1:31" ht="33" customHeight="1">
      <c r="A19" s="76" t="s">
        <v>134</v>
      </c>
      <c r="B19" s="31"/>
      <c r="C19" s="89" t="str">
        <f>Q9</f>
        <v>SC Svitávka</v>
      </c>
      <c r="D19" s="75" t="s">
        <v>8</v>
      </c>
      <c r="E19" s="91" t="str">
        <f>Q11</f>
        <v>Sokol Šitbořice</v>
      </c>
      <c r="F19" s="256"/>
      <c r="G19" s="80" t="s">
        <v>19</v>
      </c>
      <c r="H19" s="80" t="s">
        <v>25</v>
      </c>
      <c r="I19" s="210"/>
      <c r="J19" s="205" t="s">
        <v>8</v>
      </c>
      <c r="K19" s="206"/>
      <c r="L19" s="207"/>
      <c r="M19" s="208" t="s">
        <v>8</v>
      </c>
      <c r="N19" s="209"/>
      <c r="P19" s="2"/>
      <c r="Q19" s="250" t="s">
        <v>208</v>
      </c>
      <c r="R19" s="258"/>
      <c r="S19" s="2" t="s">
        <v>223</v>
      </c>
      <c r="U19" s="2"/>
      <c r="V19" s="2"/>
      <c r="W19" s="2"/>
      <c r="X19" s="104" t="str">
        <f t="shared" si="7"/>
        <v/>
      </c>
      <c r="Y19" s="104" t="str">
        <f t="shared" si="8"/>
        <v/>
      </c>
      <c r="Z19" s="105" t="str">
        <f t="shared" si="9"/>
        <v/>
      </c>
      <c r="AA19" s="105" t="str">
        <f t="shared" si="10"/>
        <v/>
      </c>
    </row>
    <row r="20" spans="1:31" ht="33" customHeight="1">
      <c r="A20" s="76" t="s">
        <v>135</v>
      </c>
      <c r="B20" s="31"/>
      <c r="C20" s="89" t="str">
        <f>Q6</f>
        <v>Sokol Zlín-Prštné 1</v>
      </c>
      <c r="D20" s="75" t="s">
        <v>8</v>
      </c>
      <c r="E20" s="91" t="str">
        <f>Q10</f>
        <v>Favorit Brno</v>
      </c>
      <c r="F20" s="256"/>
      <c r="G20" s="80" t="s">
        <v>19</v>
      </c>
      <c r="H20" s="80" t="s">
        <v>25</v>
      </c>
      <c r="I20" s="210"/>
      <c r="J20" s="205" t="s">
        <v>8</v>
      </c>
      <c r="K20" s="206"/>
      <c r="L20" s="207"/>
      <c r="M20" s="208" t="s">
        <v>8</v>
      </c>
      <c r="N20" s="209"/>
      <c r="Q20" s="250" t="s">
        <v>224</v>
      </c>
      <c r="R20" s="258"/>
      <c r="S20" s="2" t="s">
        <v>223</v>
      </c>
      <c r="X20" s="104" t="str">
        <f t="shared" si="7"/>
        <v/>
      </c>
      <c r="Y20" s="104" t="str">
        <f t="shared" si="8"/>
        <v/>
      </c>
      <c r="Z20" s="105" t="str">
        <f t="shared" si="9"/>
        <v/>
      </c>
      <c r="AA20" s="105" t="str">
        <f t="shared" si="10"/>
        <v/>
      </c>
    </row>
    <row r="21" spans="1:31" ht="33" customHeight="1">
      <c r="A21" s="76" t="s">
        <v>136</v>
      </c>
      <c r="B21" s="31"/>
      <c r="C21" s="89" t="str">
        <f>Q8</f>
        <v>MO Svitávka</v>
      </c>
      <c r="D21" s="75" t="s">
        <v>8</v>
      </c>
      <c r="E21" s="91" t="str">
        <f>Q12</f>
        <v>Prima Nezamyslice</v>
      </c>
      <c r="F21" s="256"/>
      <c r="G21" s="80" t="s">
        <v>19</v>
      </c>
      <c r="H21" s="80" t="s">
        <v>25</v>
      </c>
      <c r="I21" s="210"/>
      <c r="J21" s="205" t="s">
        <v>8</v>
      </c>
      <c r="K21" s="206"/>
      <c r="L21" s="207"/>
      <c r="M21" s="208" t="s">
        <v>8</v>
      </c>
      <c r="N21" s="209"/>
      <c r="X21" s="104" t="str">
        <f t="shared" si="7"/>
        <v/>
      </c>
      <c r="Y21" s="104" t="str">
        <f t="shared" si="8"/>
        <v/>
      </c>
      <c r="Z21" s="105" t="str">
        <f t="shared" si="9"/>
        <v/>
      </c>
      <c r="AA21" s="105" t="str">
        <f t="shared" si="10"/>
        <v/>
      </c>
    </row>
    <row r="22" spans="1:31" ht="33" customHeight="1">
      <c r="A22" s="76" t="s">
        <v>137</v>
      </c>
      <c r="B22" s="31"/>
      <c r="C22" s="89" t="str">
        <f>Q7</f>
        <v>Sokol Zlín-Prštné 2</v>
      </c>
      <c r="D22" s="75" t="s">
        <v>8</v>
      </c>
      <c r="E22" s="91" t="str">
        <f>Q11</f>
        <v>Sokol Šitbořice</v>
      </c>
      <c r="F22" s="256"/>
      <c r="G22" s="80" t="s">
        <v>19</v>
      </c>
      <c r="H22" s="80" t="s">
        <v>25</v>
      </c>
      <c r="I22" s="210"/>
      <c r="J22" s="205" t="s">
        <v>8</v>
      </c>
      <c r="K22" s="206"/>
      <c r="L22" s="207"/>
      <c r="M22" s="208" t="s">
        <v>8</v>
      </c>
      <c r="N22" s="209"/>
      <c r="X22" s="104" t="str">
        <f t="shared" si="7"/>
        <v/>
      </c>
      <c r="Y22" s="104" t="str">
        <f t="shared" si="8"/>
        <v/>
      </c>
      <c r="Z22" s="105" t="str">
        <f t="shared" si="9"/>
        <v/>
      </c>
      <c r="AA22" s="105" t="str">
        <f t="shared" si="10"/>
        <v/>
      </c>
    </row>
    <row r="23" spans="1:31" ht="33" customHeight="1">
      <c r="A23" s="76" t="s">
        <v>138</v>
      </c>
      <c r="B23" s="31"/>
      <c r="C23" s="89" t="str">
        <f>Q6</f>
        <v>Sokol Zlín-Prštné 1</v>
      </c>
      <c r="D23" s="75" t="s">
        <v>8</v>
      </c>
      <c r="E23" s="91" t="str">
        <f>Q9</f>
        <v>SC Svitávka</v>
      </c>
      <c r="F23" s="256"/>
      <c r="G23" s="80" t="s">
        <v>19</v>
      </c>
      <c r="H23" s="80" t="s">
        <v>25</v>
      </c>
      <c r="I23" s="210"/>
      <c r="J23" s="205" t="s">
        <v>8</v>
      </c>
      <c r="K23" s="206"/>
      <c r="L23" s="207"/>
      <c r="M23" s="208" t="s">
        <v>8</v>
      </c>
      <c r="N23" s="209"/>
      <c r="X23" s="104" t="str">
        <f t="shared" si="7"/>
        <v/>
      </c>
      <c r="Y23" s="104" t="str">
        <f t="shared" si="8"/>
        <v/>
      </c>
      <c r="Z23" s="105" t="str">
        <f t="shared" si="9"/>
        <v/>
      </c>
      <c r="AA23" s="105" t="str">
        <f t="shared" si="10"/>
        <v/>
      </c>
    </row>
    <row r="24" spans="1:31" ht="33" customHeight="1">
      <c r="A24" s="76" t="s">
        <v>139</v>
      </c>
      <c r="B24" s="31"/>
      <c r="C24" s="89" t="str">
        <f>Q10</f>
        <v>Favorit Brno</v>
      </c>
      <c r="D24" s="75" t="s">
        <v>8</v>
      </c>
      <c r="E24" s="91" t="str">
        <f>Q12</f>
        <v>Prima Nezamyslice</v>
      </c>
      <c r="F24" s="256"/>
      <c r="G24" s="80" t="s">
        <v>19</v>
      </c>
      <c r="H24" s="80" t="s">
        <v>25</v>
      </c>
      <c r="I24" s="210"/>
      <c r="J24" s="205" t="s">
        <v>8</v>
      </c>
      <c r="K24" s="206"/>
      <c r="L24" s="207"/>
      <c r="M24" s="208" t="s">
        <v>8</v>
      </c>
      <c r="N24" s="209"/>
      <c r="X24" s="104" t="str">
        <f t="shared" si="7"/>
        <v/>
      </c>
      <c r="Y24" s="104" t="str">
        <f t="shared" si="8"/>
        <v/>
      </c>
      <c r="Z24" s="105" t="str">
        <f t="shared" si="9"/>
        <v/>
      </c>
      <c r="AA24" s="105" t="str">
        <f t="shared" si="10"/>
        <v/>
      </c>
    </row>
    <row r="25" spans="1:31" ht="33" customHeight="1">
      <c r="A25" s="76" t="s">
        <v>140</v>
      </c>
      <c r="B25" s="31"/>
      <c r="C25" s="89" t="str">
        <f>Q8</f>
        <v>MO Svitávka</v>
      </c>
      <c r="D25" s="75" t="s">
        <v>8</v>
      </c>
      <c r="E25" s="91" t="str">
        <f>Q11</f>
        <v>Sokol Šitbořice</v>
      </c>
      <c r="F25" s="256"/>
      <c r="G25" s="80" t="s">
        <v>19</v>
      </c>
      <c r="H25" s="80" t="s">
        <v>25</v>
      </c>
      <c r="I25" s="210"/>
      <c r="J25" s="205" t="s">
        <v>8</v>
      </c>
      <c r="K25" s="206"/>
      <c r="L25" s="207"/>
      <c r="M25" s="208" t="s">
        <v>8</v>
      </c>
      <c r="N25" s="209"/>
      <c r="X25" s="104" t="str">
        <f t="shared" si="7"/>
        <v/>
      </c>
      <c r="Y25" s="104" t="str">
        <f t="shared" si="8"/>
        <v/>
      </c>
      <c r="Z25" s="105" t="str">
        <f t="shared" si="9"/>
        <v/>
      </c>
      <c r="AA25" s="105" t="str">
        <f t="shared" si="10"/>
        <v/>
      </c>
    </row>
    <row r="26" spans="1:31" ht="33" customHeight="1">
      <c r="A26" s="76" t="s">
        <v>141</v>
      </c>
      <c r="B26" s="31"/>
      <c r="C26" s="89" t="str">
        <f>Q7</f>
        <v>Sokol Zlín-Prštné 2</v>
      </c>
      <c r="D26" s="75" t="s">
        <v>8</v>
      </c>
      <c r="E26" s="91" t="str">
        <f>Q9</f>
        <v>SC Svitávka</v>
      </c>
      <c r="F26" s="256"/>
      <c r="G26" s="80" t="s">
        <v>19</v>
      </c>
      <c r="H26" s="80" t="s">
        <v>25</v>
      </c>
      <c r="I26" s="210"/>
      <c r="J26" s="205" t="s">
        <v>8</v>
      </c>
      <c r="K26" s="206"/>
      <c r="L26" s="207"/>
      <c r="M26" s="208" t="s">
        <v>8</v>
      </c>
      <c r="N26" s="209"/>
      <c r="X26" s="104" t="str">
        <f t="shared" si="7"/>
        <v/>
      </c>
      <c r="Y26" s="104" t="str">
        <f t="shared" si="8"/>
        <v/>
      </c>
      <c r="Z26" s="105" t="str">
        <f t="shared" si="9"/>
        <v/>
      </c>
      <c r="AA26" s="105" t="str">
        <f t="shared" si="10"/>
        <v/>
      </c>
    </row>
    <row r="28" spans="1:31">
      <c r="E28" s="246"/>
      <c r="F28" s="247">
        <f>COUNTIF($F$6:$F$26,E28)</f>
        <v>0</v>
      </c>
      <c r="K28" s="123">
        <f>F28+F29+F30</f>
        <v>0</v>
      </c>
    </row>
    <row r="29" spans="1:31" ht="13.2" customHeight="1">
      <c r="E29" s="246"/>
      <c r="F29" s="247">
        <f>COUNTIF($F$6:$F$26,E29)</f>
        <v>0</v>
      </c>
      <c r="K29" s="123">
        <f>F28+F31+F32</f>
        <v>0</v>
      </c>
    </row>
    <row r="30" spans="1:31" ht="13.2" customHeight="1">
      <c r="E30" s="246"/>
      <c r="F30" s="247">
        <f t="shared" ref="F30:F33" si="11">COUNTIF($F$6:$F$26,E30)</f>
        <v>0</v>
      </c>
      <c r="K30" s="123">
        <f>F29+F31+F33</f>
        <v>0</v>
      </c>
    </row>
    <row r="31" spans="1:31" ht="13.2" customHeight="1">
      <c r="E31" s="246"/>
      <c r="F31" s="247">
        <f t="shared" si="11"/>
        <v>0</v>
      </c>
      <c r="K31" s="123">
        <f>F30+F32+F33</f>
        <v>0</v>
      </c>
    </row>
    <row r="32" spans="1:31" ht="13.2" customHeight="1">
      <c r="C32" s="241"/>
      <c r="E32" s="246"/>
      <c r="F32" s="247">
        <f t="shared" si="11"/>
        <v>0</v>
      </c>
      <c r="H32" s="248" t="s">
        <v>207</v>
      </c>
      <c r="K32" s="249">
        <f>SUM(K28:K31)</f>
        <v>0</v>
      </c>
    </row>
    <row r="33" spans="3:6">
      <c r="C33" s="241"/>
      <c r="E33" s="246"/>
      <c r="F33" s="247">
        <f t="shared" si="11"/>
        <v>0</v>
      </c>
    </row>
    <row r="34" spans="3:6">
      <c r="C34" s="241"/>
      <c r="E34" s="248" t="s">
        <v>207</v>
      </c>
      <c r="F34" s="249">
        <f>SUM(F28:F33)</f>
        <v>0</v>
      </c>
    </row>
    <row r="35" spans="3:6">
      <c r="C35" s="241"/>
      <c r="E35" s="246"/>
      <c r="F35" s="247"/>
    </row>
    <row r="36" spans="3:6">
      <c r="E36" s="246"/>
      <c r="F36" s="247"/>
    </row>
    <row r="37" spans="3:6">
      <c r="E37" s="246"/>
      <c r="F37" s="247"/>
    </row>
  </sheetData>
  <mergeCells count="14">
    <mergeCell ref="S4:S5"/>
    <mergeCell ref="A4:A5"/>
    <mergeCell ref="B4:B5"/>
    <mergeCell ref="C4:C5"/>
    <mergeCell ref="E4:E5"/>
    <mergeCell ref="F4:F5"/>
    <mergeCell ref="G4:H4"/>
    <mergeCell ref="I4:K5"/>
    <mergeCell ref="L4:N5"/>
    <mergeCell ref="B1:D1"/>
    <mergeCell ref="G1:M1"/>
    <mergeCell ref="I2:K2"/>
    <mergeCell ref="L2:N2"/>
    <mergeCell ref="A2:H2"/>
  </mergeCells>
  <printOptions horizontalCentered="1"/>
  <pageMargins left="0.27559055118110237" right="0.27559055118110237" top="0.31" bottom="0.48" header="0.23622047244094491" footer="0.19"/>
  <pageSetup paperSize="9" scale="90" orientation="portrait" r:id="rId1"/>
  <headerFooter alignWithMargins="0">
    <oddFooter>&amp;L&amp;F&amp;C&amp;P&amp;R&amp;A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Protokol 7 Teams</vt:lpstr>
      <vt:lpstr>Pořadí zápasů 7 Teams_Spielplan</vt:lpstr>
      <vt:lpstr>'Pořadí zápasů 7 Teams_Spielplan'!Názvy_tisku</vt:lpstr>
      <vt:lpstr>'Pořadí zápasů 7 Teams_Spielplan'!Oblast_tisku</vt:lpstr>
      <vt:lpstr>'Protokol 7 Teams'!Oblast_tisku</vt:lpstr>
    </vt:vector>
  </TitlesOfParts>
  <Company>LVZ, a.s. Liberec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VILD</dc:creator>
  <cp:keywords>Czech Republic</cp:keywords>
  <cp:lastModifiedBy>Josef Vild</cp:lastModifiedBy>
  <cp:lastPrinted>2023-02-16T14:32:56Z</cp:lastPrinted>
  <dcterms:created xsi:type="dcterms:W3CDTF">1998-10-05T17:57:10Z</dcterms:created>
  <dcterms:modified xsi:type="dcterms:W3CDTF">2025-03-24T12:59:03Z</dcterms:modified>
  <cp:category>I.LIGA</cp:category>
</cp:coreProperties>
</file>